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azabu\project\2022\P220016401_令和4年度二国間クレジット制度に関する合同委員会事務局等委託業務\99_藤塚さん作業フォルダ\1_作業\230523_公開版資料作成(KH004､KH005)\KH005\"/>
    </mc:Choice>
  </mc:AlternateContent>
  <xr:revisionPtr revIDLastSave="0" documentId="13_ncr:1_{F51C4AF6-8653-46FB-B616-3E0FF80B8C49}" xr6:coauthVersionLast="47" xr6:coauthVersionMax="47" xr10:uidLastSave="{00000000-0000-0000-0000-000000000000}"/>
  <bookViews>
    <workbookView xWindow="-110" yWindow="-110" windowWidth="19420" windowHeight="11760" tabRatio="937" xr2:uid="{632B966C-2F79-4551-885D-30218B1C76A8}"/>
  </bookViews>
  <sheets>
    <sheet name="MPS(input_Option1)" sheetId="32" r:id="rId1"/>
    <sheet name="MPS(input_RL_Opt1)" sheetId="52" r:id="rId2"/>
    <sheet name="MPS(input_PJ_Opt1)" sheetId="53" r:id="rId3"/>
    <sheet name="MPS(calc_process_Option1)" sheetId="41" r:id="rId4"/>
    <sheet name="MSP" sheetId="63" r:id="rId5"/>
    <sheet name="MRS(input_Option1)" sheetId="64" r:id="rId6"/>
    <sheet name="MRS(input_RL_Opt1)" sheetId="65" r:id="rId7"/>
    <sheet name="MRS(input_PJ_Opt1)" sheetId="66" r:id="rId8"/>
    <sheet name="MRS(calc_process_Option1)" sheetId="67" r:id="rId9"/>
    <sheet name="MRSA" sheetId="75" r:id="rId10"/>
  </sheets>
  <externalReferences>
    <externalReference r:id="rId11"/>
  </externalReferences>
  <definedNames>
    <definedName name="EF">'[1]MPS(calc_process)'!$G$25:$G$26</definedName>
    <definedName name="_xlnm.Print_Area" localSheetId="3">'MPS(calc_process_Option1)'!$A$1:$H$111</definedName>
    <definedName name="_xlnm.Print_Area" localSheetId="0">'MPS(input_Option1)'!$A$1:$K$93</definedName>
    <definedName name="_xlnm.Print_Area" localSheetId="1">'MPS(input_RL_Opt1)'!$A$1:$AC$20</definedName>
    <definedName name="_xlnm.Print_Area" localSheetId="8">'MRS(calc_process_Option1)'!$A$1:$H$111</definedName>
    <definedName name="_xlnm.Print_Area" localSheetId="5">'MRS(input_Option1)'!$A$1:$L$93</definedName>
    <definedName name="_xlnm.Print_Area" localSheetId="9">MRSA!$A$1:$D$34</definedName>
    <definedName name="_xlnm.Print_Area" localSheetId="4">MSP!$A$1:$D$74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3" i="53" l="1"/>
  <c r="AD114" i="53" s="1"/>
  <c r="AD115" i="53" s="1"/>
  <c r="AD116" i="53" s="1"/>
  <c r="AD117" i="53" s="1"/>
  <c r="AD118" i="53" s="1"/>
  <c r="AD119" i="53" s="1"/>
  <c r="AD120" i="53" s="1"/>
  <c r="AD121" i="53" s="1"/>
  <c r="AC113" i="53"/>
  <c r="AC114" i="53" s="1"/>
  <c r="AC115" i="53" s="1"/>
  <c r="AC116" i="53" s="1"/>
  <c r="AC117" i="53" s="1"/>
  <c r="AC118" i="53" s="1"/>
  <c r="AC119" i="53" s="1"/>
  <c r="AC120" i="53" s="1"/>
  <c r="AC121" i="53" s="1"/>
  <c r="AD112" i="53"/>
  <c r="AC112" i="53"/>
  <c r="AA112" i="53"/>
  <c r="AA113" i="53" s="1"/>
  <c r="AA114" i="53" s="1"/>
  <c r="AA115" i="53" s="1"/>
  <c r="AA116" i="53" s="1"/>
  <c r="AA117" i="53" s="1"/>
  <c r="AA118" i="53" s="1"/>
  <c r="AA119" i="53" s="1"/>
  <c r="AA120" i="53" s="1"/>
  <c r="AA121" i="53" s="1"/>
  <c r="Z112" i="53"/>
  <c r="Z113" i="53" s="1"/>
  <c r="Z114" i="53" s="1"/>
  <c r="Z115" i="53" s="1"/>
  <c r="Z116" i="53" s="1"/>
  <c r="Z117" i="53" s="1"/>
  <c r="Z118" i="53" s="1"/>
  <c r="Z119" i="53" s="1"/>
  <c r="Z120" i="53" s="1"/>
  <c r="Z121" i="53" s="1"/>
  <c r="AH111" i="53"/>
  <c r="AH112" i="53" s="1"/>
  <c r="AH113" i="53" s="1"/>
  <c r="AH114" i="53" s="1"/>
  <c r="AH115" i="53" s="1"/>
  <c r="AH116" i="53" s="1"/>
  <c r="AH117" i="53" s="1"/>
  <c r="AH118" i="53" s="1"/>
  <c r="AH119" i="53" s="1"/>
  <c r="AH120" i="53" s="1"/>
  <c r="AH121" i="53" s="1"/>
  <c r="AA111" i="53"/>
  <c r="Z111" i="53"/>
  <c r="AA110" i="53"/>
  <c r="K112" i="53" l="1"/>
  <c r="P96" i="53"/>
  <c r="P97" i="53" s="1"/>
  <c r="P98" i="53" s="1"/>
  <c r="P99" i="53" s="1"/>
  <c r="P100" i="53" s="1"/>
  <c r="P95" i="53"/>
  <c r="P94" i="53"/>
  <c r="P93" i="53"/>
  <c r="M93" i="53"/>
  <c r="M94" i="53" s="1"/>
  <c r="M95" i="53" s="1"/>
  <c r="M96" i="53" s="1"/>
  <c r="M97" i="53" s="1"/>
  <c r="M98" i="53" s="1"/>
  <c r="M99" i="53" s="1"/>
  <c r="M100" i="53" s="1"/>
  <c r="P92" i="53"/>
  <c r="P90" i="53"/>
  <c r="G90" i="53"/>
  <c r="G91" i="53" s="1"/>
  <c r="G92" i="53" s="1"/>
  <c r="G93" i="53" s="1"/>
  <c r="G94" i="53" s="1"/>
  <c r="G95" i="53" s="1"/>
  <c r="G96" i="53" s="1"/>
  <c r="G97" i="53" s="1"/>
  <c r="G98" i="53" s="1"/>
  <c r="G99" i="53" s="1"/>
  <c r="G100" i="53" s="1"/>
  <c r="J89" i="53"/>
  <c r="J90" i="53" s="1"/>
  <c r="J91" i="53" s="1"/>
  <c r="J92" i="53" s="1"/>
  <c r="J93" i="53" s="1"/>
  <c r="J94" i="53" s="1"/>
  <c r="J95" i="53" s="1"/>
  <c r="J96" i="53" s="1"/>
  <c r="J97" i="53" s="1"/>
  <c r="J98" i="53" s="1"/>
  <c r="J99" i="53" s="1"/>
  <c r="J100" i="53" s="1"/>
  <c r="M81" i="53"/>
  <c r="J81" i="53"/>
  <c r="G81" i="53"/>
  <c r="D38" i="53"/>
  <c r="D39" i="53" s="1"/>
  <c r="D40" i="53" s="1"/>
  <c r="D41" i="53" s="1"/>
  <c r="D42" i="53" s="1"/>
  <c r="D43" i="53" s="1"/>
  <c r="D44" i="53" s="1"/>
  <c r="D45" i="53" s="1"/>
  <c r="D46" i="53" s="1"/>
  <c r="D47" i="53" s="1"/>
  <c r="D37" i="53"/>
  <c r="D36" i="53"/>
  <c r="D12" i="53"/>
  <c r="D13" i="53" s="1"/>
  <c r="D14" i="53" s="1"/>
  <c r="D15" i="53" s="1"/>
  <c r="D16" i="53" s="1"/>
  <c r="D17" i="53" s="1"/>
  <c r="D18" i="53" s="1"/>
  <c r="D19" i="53" s="1"/>
  <c r="C12" i="53"/>
  <c r="C13" i="53" s="1"/>
  <c r="C14" i="53" s="1"/>
  <c r="C15" i="53" s="1"/>
  <c r="C16" i="53" s="1"/>
  <c r="C17" i="53" s="1"/>
  <c r="C18" i="53" s="1"/>
  <c r="C19" i="53" s="1"/>
  <c r="D11" i="53"/>
  <c r="C11" i="53"/>
  <c r="K10" i="53"/>
  <c r="K11" i="53" s="1"/>
  <c r="K12" i="53" s="1"/>
  <c r="K13" i="53" s="1"/>
  <c r="K14" i="53" s="1"/>
  <c r="K15" i="53" s="1"/>
  <c r="K16" i="53" s="1"/>
  <c r="K17" i="53" s="1"/>
  <c r="K18" i="53" s="1"/>
  <c r="K19" i="53" s="1"/>
  <c r="G10" i="53"/>
  <c r="G11" i="53" s="1"/>
  <c r="G12" i="53" s="1"/>
  <c r="G13" i="53" s="1"/>
  <c r="G14" i="53" s="1"/>
  <c r="G15" i="53" s="1"/>
  <c r="G16" i="53" s="1"/>
  <c r="G17" i="53" s="1"/>
  <c r="G18" i="53" s="1"/>
  <c r="G19" i="53" s="1"/>
  <c r="F10" i="53"/>
  <c r="F11" i="53" s="1"/>
  <c r="F12" i="53" s="1"/>
  <c r="F13" i="53" s="1"/>
  <c r="F14" i="53" s="1"/>
  <c r="F15" i="53" s="1"/>
  <c r="F16" i="53" s="1"/>
  <c r="F17" i="53" s="1"/>
  <c r="F18" i="53" s="1"/>
  <c r="F19" i="53" s="1"/>
  <c r="D10" i="53"/>
  <c r="C10" i="53"/>
  <c r="AB19" i="52"/>
  <c r="AB18" i="52"/>
  <c r="AB17" i="52"/>
  <c r="AB16" i="52"/>
  <c r="AB15" i="52"/>
  <c r="AB14" i="52"/>
  <c r="AB13" i="52"/>
  <c r="AB12" i="52"/>
  <c r="AB11" i="52"/>
  <c r="AB10" i="52"/>
  <c r="AB9" i="52"/>
  <c r="AB8" i="52"/>
  <c r="E58" i="32"/>
  <c r="E57" i="32"/>
  <c r="E56" i="32"/>
  <c r="E55" i="32"/>
  <c r="E54" i="32"/>
  <c r="E53" i="32"/>
  <c r="E52" i="32"/>
  <c r="E51" i="32"/>
  <c r="E50" i="32"/>
  <c r="E49" i="32"/>
  <c r="E48" i="32"/>
  <c r="C8" i="52" l="1"/>
  <c r="M8" i="52" l="1"/>
  <c r="L8" i="52"/>
  <c r="K8" i="52"/>
  <c r="J8" i="52"/>
  <c r="I8" i="52"/>
  <c r="H8" i="52"/>
  <c r="G8" i="52"/>
  <c r="F8" i="52"/>
  <c r="E8" i="52"/>
  <c r="D8" i="52"/>
  <c r="AC100" i="66"/>
  <c r="AC99" i="66"/>
  <c r="AC98" i="66"/>
  <c r="AC97" i="66"/>
  <c r="AC96" i="66"/>
  <c r="AC95" i="66"/>
  <c r="AC94" i="66"/>
  <c r="AC93" i="66"/>
  <c r="AC92" i="66"/>
  <c r="AC91" i="66"/>
  <c r="AC90" i="66"/>
  <c r="AC89" i="66"/>
  <c r="BB121" i="66" l="1"/>
  <c r="BA121" i="66"/>
  <c r="BB120" i="66"/>
  <c r="BA120" i="66"/>
  <c r="BB119" i="66"/>
  <c r="BA119" i="66"/>
  <c r="BB118" i="66"/>
  <c r="BA118" i="66"/>
  <c r="BB117" i="66"/>
  <c r="BA117" i="66"/>
  <c r="BB116" i="66"/>
  <c r="BA116" i="66"/>
  <c r="BB115" i="66"/>
  <c r="BA115" i="66"/>
  <c r="BB114" i="66"/>
  <c r="BA114" i="66"/>
  <c r="BB113" i="66"/>
  <c r="BA113" i="66"/>
  <c r="BB112" i="66"/>
  <c r="BA112" i="66"/>
  <c r="BB111" i="66"/>
  <c r="BA111" i="66"/>
  <c r="BB110" i="66"/>
  <c r="BA110" i="66"/>
  <c r="BB109" i="66"/>
  <c r="BA109" i="66"/>
  <c r="C109" i="66" l="1"/>
  <c r="B109" i="53"/>
  <c r="B8" i="65"/>
  <c r="F37" i="64"/>
  <c r="AC2" i="65"/>
  <c r="AC1" i="65"/>
  <c r="K36" i="64"/>
  <c r="K35" i="64"/>
  <c r="H36" i="64"/>
  <c r="H35" i="64"/>
  <c r="F36" i="64"/>
  <c r="F35" i="64"/>
  <c r="B129" i="66" l="1"/>
  <c r="D8" i="67"/>
  <c r="B110" i="66"/>
  <c r="B61" i="66"/>
  <c r="B8" i="66"/>
  <c r="B36" i="66"/>
  <c r="D76" i="64"/>
  <c r="B89" i="66"/>
  <c r="BB111" i="53"/>
  <c r="BB112" i="53"/>
  <c r="BB113" i="53"/>
  <c r="BB114" i="53"/>
  <c r="BB115" i="53"/>
  <c r="BB116" i="53"/>
  <c r="BB117" i="53"/>
  <c r="BB118" i="53"/>
  <c r="BB119" i="53"/>
  <c r="BB120" i="53"/>
  <c r="BB121" i="53"/>
  <c r="BB110" i="53"/>
  <c r="Z8" i="52"/>
  <c r="Y8" i="52"/>
  <c r="X8" i="52"/>
  <c r="W8" i="52"/>
  <c r="V8" i="52"/>
  <c r="U8" i="52"/>
  <c r="T8" i="52"/>
  <c r="S8" i="52"/>
  <c r="R8" i="52"/>
  <c r="Q8" i="52"/>
  <c r="P8" i="52"/>
  <c r="O8" i="52"/>
  <c r="M9" i="52"/>
  <c r="M10" i="52" s="1"/>
  <c r="M11" i="52" s="1"/>
  <c r="M12" i="52" s="1"/>
  <c r="M13" i="52" s="1"/>
  <c r="M14" i="52" s="1"/>
  <c r="M15" i="52" s="1"/>
  <c r="M16" i="52" s="1"/>
  <c r="M17" i="52" s="1"/>
  <c r="M18" i="52" s="1"/>
  <c r="M19" i="52" s="1"/>
  <c r="I9" i="52"/>
  <c r="I10" i="52" s="1"/>
  <c r="I11" i="52" s="1"/>
  <c r="I12" i="52" s="1"/>
  <c r="I13" i="52" s="1"/>
  <c r="I14" i="52" s="1"/>
  <c r="I15" i="52" s="1"/>
  <c r="I16" i="52" s="1"/>
  <c r="I17" i="52" s="1"/>
  <c r="I18" i="52" s="1"/>
  <c r="I19" i="52" s="1"/>
  <c r="E9" i="52"/>
  <c r="E10" i="52" s="1"/>
  <c r="E11" i="52" s="1"/>
  <c r="E12" i="52" s="1"/>
  <c r="E13" i="52" s="1"/>
  <c r="E14" i="52" s="1"/>
  <c r="E15" i="52" s="1"/>
  <c r="E16" i="52" s="1"/>
  <c r="E17" i="52" s="1"/>
  <c r="E18" i="52" s="1"/>
  <c r="E19" i="52" s="1"/>
  <c r="S9" i="52" l="1"/>
  <c r="G9" i="52"/>
  <c r="W9" i="52"/>
  <c r="K9" i="52"/>
  <c r="P9" i="52"/>
  <c r="D9" i="52"/>
  <c r="D10" i="52" s="1"/>
  <c r="D11" i="52" s="1"/>
  <c r="D12" i="52" s="1"/>
  <c r="D13" i="52" s="1"/>
  <c r="D14" i="52" s="1"/>
  <c r="D15" i="52" s="1"/>
  <c r="D16" i="52" s="1"/>
  <c r="D17" i="52" s="1"/>
  <c r="D18" i="52" s="1"/>
  <c r="D19" i="52" s="1"/>
  <c r="T9" i="52"/>
  <c r="H9" i="52"/>
  <c r="H10" i="52" s="1"/>
  <c r="H11" i="52" s="1"/>
  <c r="H12" i="52" s="1"/>
  <c r="H13" i="52" s="1"/>
  <c r="H14" i="52" s="1"/>
  <c r="H15" i="52" s="1"/>
  <c r="H16" i="52" s="1"/>
  <c r="H17" i="52" s="1"/>
  <c r="H18" i="52" s="1"/>
  <c r="H19" i="52" s="1"/>
  <c r="X9" i="52"/>
  <c r="L9" i="52"/>
  <c r="L10" i="52" s="1"/>
  <c r="L11" i="52" s="1"/>
  <c r="L12" i="52" s="1"/>
  <c r="L13" i="52" s="1"/>
  <c r="L14" i="52" s="1"/>
  <c r="L15" i="52" s="1"/>
  <c r="L16" i="52" s="1"/>
  <c r="L17" i="52" s="1"/>
  <c r="L18" i="52" s="1"/>
  <c r="L19" i="52" s="1"/>
  <c r="Y9" i="52"/>
  <c r="U9" i="52"/>
  <c r="O9" i="52"/>
  <c r="C9" i="52"/>
  <c r="C10" i="52" s="1"/>
  <c r="C11" i="52" s="1"/>
  <c r="C12" i="52" s="1"/>
  <c r="C13" i="52" s="1"/>
  <c r="C14" i="52" s="1"/>
  <c r="C15" i="52" s="1"/>
  <c r="C16" i="52" s="1"/>
  <c r="C17" i="52" s="1"/>
  <c r="C18" i="52" s="1"/>
  <c r="C19" i="52" s="1"/>
  <c r="R9" i="52"/>
  <c r="F9" i="52"/>
  <c r="F10" i="52" s="1"/>
  <c r="F11" i="52" s="1"/>
  <c r="F12" i="52" s="1"/>
  <c r="F13" i="52" s="1"/>
  <c r="F14" i="52" s="1"/>
  <c r="F15" i="52" s="1"/>
  <c r="F16" i="52" s="1"/>
  <c r="F17" i="52" s="1"/>
  <c r="F18" i="52" s="1"/>
  <c r="F19" i="52" s="1"/>
  <c r="V9" i="52"/>
  <c r="J9" i="52"/>
  <c r="J10" i="52" s="1"/>
  <c r="J11" i="52" s="1"/>
  <c r="J12" i="52" s="1"/>
  <c r="J13" i="52" s="1"/>
  <c r="J14" i="52" s="1"/>
  <c r="J15" i="52" s="1"/>
  <c r="J16" i="52" s="1"/>
  <c r="J17" i="52" s="1"/>
  <c r="J18" i="52" s="1"/>
  <c r="J19" i="52" s="1"/>
  <c r="Q9" i="52"/>
  <c r="U11" i="52"/>
  <c r="Y11" i="52"/>
  <c r="Q11" i="52"/>
  <c r="Y10" i="52"/>
  <c r="U10" i="52"/>
  <c r="Q10" i="52"/>
  <c r="C76" i="32"/>
  <c r="D8" i="41"/>
  <c r="BA111" i="53"/>
  <c r="BA112" i="53"/>
  <c r="BA113" i="53"/>
  <c r="BA114" i="53"/>
  <c r="BA115" i="53"/>
  <c r="BA116" i="53"/>
  <c r="BA117" i="53"/>
  <c r="BA118" i="53"/>
  <c r="BA119" i="53"/>
  <c r="BA120" i="53"/>
  <c r="BA121" i="53"/>
  <c r="BA110" i="53"/>
  <c r="M110" i="53" l="1"/>
  <c r="E110" i="53"/>
  <c r="L110" i="53"/>
  <c r="D110" i="53"/>
  <c r="K110" i="53"/>
  <c r="C110" i="53"/>
  <c r="J110" i="53"/>
  <c r="J111" i="53" s="1"/>
  <c r="J112" i="53" s="1"/>
  <c r="J113" i="53" s="1"/>
  <c r="J114" i="53" s="1"/>
  <c r="J115" i="53" s="1"/>
  <c r="J116" i="53" s="1"/>
  <c r="J117" i="53" s="1"/>
  <c r="J118" i="53" s="1"/>
  <c r="J119" i="53" s="1"/>
  <c r="J120" i="53" s="1"/>
  <c r="J121" i="53" s="1"/>
  <c r="I110" i="53"/>
  <c r="I111" i="53" s="1"/>
  <c r="I112" i="53" s="1"/>
  <c r="I113" i="53" s="1"/>
  <c r="I114" i="53" s="1"/>
  <c r="I115" i="53" s="1"/>
  <c r="I116" i="53" s="1"/>
  <c r="I117" i="53" s="1"/>
  <c r="I118" i="53" s="1"/>
  <c r="I119" i="53" s="1"/>
  <c r="I120" i="53" s="1"/>
  <c r="I121" i="53" s="1"/>
  <c r="H110" i="53"/>
  <c r="G110" i="53"/>
  <c r="F110" i="53"/>
  <c r="O10" i="52"/>
  <c r="K10" i="52"/>
  <c r="K11" i="52" s="1"/>
  <c r="K12" i="52" s="1"/>
  <c r="K13" i="52" s="1"/>
  <c r="K14" i="52" s="1"/>
  <c r="K15" i="52" s="1"/>
  <c r="K16" i="52" s="1"/>
  <c r="K17" i="52" s="1"/>
  <c r="K18" i="52" s="1"/>
  <c r="K19" i="52" s="1"/>
  <c r="W10" i="52"/>
  <c r="O11" i="52"/>
  <c r="G10" i="52"/>
  <c r="S10" i="52"/>
  <c r="R10" i="52"/>
  <c r="Y12" i="52"/>
  <c r="V10" i="52"/>
  <c r="T10" i="52"/>
  <c r="W11" i="52"/>
  <c r="P10" i="52"/>
  <c r="O12" i="52"/>
  <c r="X10" i="52"/>
  <c r="Q12" i="52"/>
  <c r="U12" i="52"/>
  <c r="V110" i="53"/>
  <c r="R110" i="53"/>
  <c r="K111" i="53"/>
  <c r="K113" i="53" s="1"/>
  <c r="K114" i="53" s="1"/>
  <c r="K115" i="53" s="1"/>
  <c r="K116" i="53" s="1"/>
  <c r="K117" i="53" s="1"/>
  <c r="K118" i="53" s="1"/>
  <c r="K119" i="53" s="1"/>
  <c r="K120" i="53" s="1"/>
  <c r="K121" i="53" s="1"/>
  <c r="G111" i="53"/>
  <c r="G112" i="53" s="1"/>
  <c r="G113" i="53" s="1"/>
  <c r="G114" i="53" s="1"/>
  <c r="G115" i="53" s="1"/>
  <c r="G116" i="53" s="1"/>
  <c r="G117" i="53" s="1"/>
  <c r="G118" i="53" s="1"/>
  <c r="G119" i="53" s="1"/>
  <c r="G120" i="53" s="1"/>
  <c r="G121" i="53" s="1"/>
  <c r="Y110" i="53"/>
  <c r="U110" i="53"/>
  <c r="Q110" i="53"/>
  <c r="F111" i="53"/>
  <c r="F112" i="53" s="1"/>
  <c r="F113" i="53" s="1"/>
  <c r="F114" i="53" s="1"/>
  <c r="F115" i="53" s="1"/>
  <c r="F116" i="53" s="1"/>
  <c r="F117" i="53" s="1"/>
  <c r="F118" i="53" s="1"/>
  <c r="F119" i="53" s="1"/>
  <c r="F120" i="53" s="1"/>
  <c r="F121" i="53" s="1"/>
  <c r="X110" i="53"/>
  <c r="T110" i="53"/>
  <c r="P110" i="53"/>
  <c r="M111" i="53"/>
  <c r="M112" i="53" s="1"/>
  <c r="M113" i="53" s="1"/>
  <c r="M114" i="53" s="1"/>
  <c r="M115" i="53" s="1"/>
  <c r="M116" i="53" s="1"/>
  <c r="M117" i="53" s="1"/>
  <c r="M118" i="53" s="1"/>
  <c r="M119" i="53" s="1"/>
  <c r="M120" i="53" s="1"/>
  <c r="M121" i="53" s="1"/>
  <c r="E111" i="53"/>
  <c r="E112" i="53" s="1"/>
  <c r="E113" i="53" s="1"/>
  <c r="E114" i="53" s="1"/>
  <c r="E115" i="53" s="1"/>
  <c r="E116" i="53" s="1"/>
  <c r="E117" i="53" s="1"/>
  <c r="E118" i="53" s="1"/>
  <c r="E119" i="53" s="1"/>
  <c r="E120" i="53" s="1"/>
  <c r="E121" i="53" s="1"/>
  <c r="W110" i="53"/>
  <c r="S110" i="53"/>
  <c r="O110" i="53"/>
  <c r="L111" i="53"/>
  <c r="L112" i="53" s="1"/>
  <c r="L113" i="53" s="1"/>
  <c r="L114" i="53" s="1"/>
  <c r="L115" i="53" s="1"/>
  <c r="L116" i="53" s="1"/>
  <c r="L117" i="53" s="1"/>
  <c r="L118" i="53" s="1"/>
  <c r="L119" i="53" s="1"/>
  <c r="L120" i="53" s="1"/>
  <c r="L121" i="53" s="1"/>
  <c r="H111" i="53"/>
  <c r="H112" i="53" s="1"/>
  <c r="H113" i="53" s="1"/>
  <c r="H114" i="53" s="1"/>
  <c r="H115" i="53" s="1"/>
  <c r="H116" i="53" s="1"/>
  <c r="H117" i="53" s="1"/>
  <c r="H118" i="53" s="1"/>
  <c r="H119" i="53" s="1"/>
  <c r="H120" i="53" s="1"/>
  <c r="H121" i="53" s="1"/>
  <c r="D111" i="53"/>
  <c r="D112" i="53" s="1"/>
  <c r="D113" i="53" s="1"/>
  <c r="D114" i="53" s="1"/>
  <c r="D115" i="53" s="1"/>
  <c r="D116" i="53" s="1"/>
  <c r="D117" i="53" s="1"/>
  <c r="D118" i="53" s="1"/>
  <c r="D119" i="53" s="1"/>
  <c r="D120" i="53" s="1"/>
  <c r="D121" i="53" s="1"/>
  <c r="N8" i="52"/>
  <c r="Z9" i="52" s="1"/>
  <c r="N110" i="53" l="1"/>
  <c r="C111" i="53"/>
  <c r="C112" i="53" s="1"/>
  <c r="C113" i="53" s="1"/>
  <c r="C114" i="53" s="1"/>
  <c r="C115" i="53" s="1"/>
  <c r="C116" i="53" s="1"/>
  <c r="C117" i="53" s="1"/>
  <c r="C118" i="53" s="1"/>
  <c r="C119" i="53" s="1"/>
  <c r="C120" i="53" s="1"/>
  <c r="C121" i="53" s="1"/>
  <c r="G11" i="52"/>
  <c r="S11" i="52"/>
  <c r="X11" i="52"/>
  <c r="U13" i="52"/>
  <c r="T11" i="52"/>
  <c r="Q13" i="52"/>
  <c r="P11" i="52"/>
  <c r="Y13" i="52"/>
  <c r="O13" i="52"/>
  <c r="W12" i="52"/>
  <c r="V11" i="52"/>
  <c r="R11" i="52"/>
  <c r="T111" i="53"/>
  <c r="X111" i="53"/>
  <c r="Q111" i="53"/>
  <c r="S111" i="53"/>
  <c r="U111" i="53"/>
  <c r="W111" i="53"/>
  <c r="P111" i="53"/>
  <c r="Y111" i="53"/>
  <c r="R111" i="53"/>
  <c r="V111" i="53"/>
  <c r="O111" i="53"/>
  <c r="N9" i="52"/>
  <c r="Z10" i="52" s="1"/>
  <c r="G12" i="52" l="1"/>
  <c r="S12" i="52"/>
  <c r="R12" i="52"/>
  <c r="Q14" i="52"/>
  <c r="T12" i="52"/>
  <c r="W13" i="52"/>
  <c r="Y14" i="52"/>
  <c r="U14" i="52"/>
  <c r="V12" i="52"/>
  <c r="O14" i="52"/>
  <c r="P12" i="52"/>
  <c r="X12" i="52"/>
  <c r="V112" i="53"/>
  <c r="Y112" i="53"/>
  <c r="W112" i="53"/>
  <c r="S112" i="53"/>
  <c r="X112" i="53"/>
  <c r="O112" i="53"/>
  <c r="R112" i="53"/>
  <c r="P112" i="53"/>
  <c r="U112" i="53"/>
  <c r="Q112" i="53"/>
  <c r="T112" i="53"/>
  <c r="B129" i="53"/>
  <c r="B110" i="53"/>
  <c r="B89" i="53"/>
  <c r="B61" i="53"/>
  <c r="B36" i="53"/>
  <c r="B8" i="53"/>
  <c r="G13" i="52" l="1"/>
  <c r="S13" i="52"/>
  <c r="O15" i="52"/>
  <c r="W14" i="52"/>
  <c r="X13" i="52"/>
  <c r="U15" i="52"/>
  <c r="Q15" i="52"/>
  <c r="P13" i="52"/>
  <c r="V13" i="52"/>
  <c r="Y15" i="52"/>
  <c r="T13" i="52"/>
  <c r="R13" i="52"/>
  <c r="O113" i="53"/>
  <c r="Q113" i="53"/>
  <c r="P113" i="53"/>
  <c r="S113" i="53"/>
  <c r="Y113" i="53"/>
  <c r="T113" i="53"/>
  <c r="U113" i="53"/>
  <c r="R113" i="53"/>
  <c r="X113" i="53"/>
  <c r="W113" i="53"/>
  <c r="V113" i="53"/>
  <c r="D2" i="75"/>
  <c r="D1" i="75"/>
  <c r="G14" i="52" l="1"/>
  <c r="S14" i="52"/>
  <c r="R14" i="52"/>
  <c r="U16" i="52"/>
  <c r="Y16" i="52"/>
  <c r="P14" i="52"/>
  <c r="W15" i="52"/>
  <c r="T14" i="52"/>
  <c r="V14" i="52"/>
  <c r="Q16" i="52"/>
  <c r="X14" i="52"/>
  <c r="O16" i="52"/>
  <c r="Q114" i="53"/>
  <c r="W114" i="53"/>
  <c r="S114" i="53"/>
  <c r="R114" i="53"/>
  <c r="T114" i="53"/>
  <c r="V114" i="53"/>
  <c r="X114" i="53"/>
  <c r="U114" i="53"/>
  <c r="Y114" i="53"/>
  <c r="P114" i="53"/>
  <c r="O114" i="53"/>
  <c r="L28" i="66"/>
  <c r="K28" i="66"/>
  <c r="G28" i="66"/>
  <c r="F28" i="66"/>
  <c r="G27" i="66"/>
  <c r="F27" i="66"/>
  <c r="N109" i="66"/>
  <c r="M109" i="66"/>
  <c r="L109" i="66"/>
  <c r="K109" i="66"/>
  <c r="J109" i="66"/>
  <c r="I109" i="66"/>
  <c r="H109" i="66"/>
  <c r="G109" i="66"/>
  <c r="F109" i="66"/>
  <c r="E109" i="66"/>
  <c r="D109" i="66"/>
  <c r="N7" i="65"/>
  <c r="Z8" i="65" s="1"/>
  <c r="M7" i="65"/>
  <c r="L7" i="65"/>
  <c r="K7" i="65"/>
  <c r="J7" i="65"/>
  <c r="I7" i="65"/>
  <c r="H7" i="65"/>
  <c r="G7" i="65"/>
  <c r="F7" i="65"/>
  <c r="E7" i="65"/>
  <c r="D7" i="65"/>
  <c r="C7" i="65"/>
  <c r="C8" i="65" s="1"/>
  <c r="B7" i="65"/>
  <c r="B109" i="66" s="1"/>
  <c r="K71" i="64"/>
  <c r="K70" i="64"/>
  <c r="K69" i="64"/>
  <c r="K68" i="64"/>
  <c r="K67" i="64"/>
  <c r="K66" i="64"/>
  <c r="K65" i="64"/>
  <c r="K64" i="64"/>
  <c r="K63" i="64"/>
  <c r="K62" i="64"/>
  <c r="K61" i="64"/>
  <c r="K60" i="64"/>
  <c r="K59" i="64"/>
  <c r="K58" i="64"/>
  <c r="K57" i="64"/>
  <c r="K56" i="64"/>
  <c r="K55" i="64"/>
  <c r="K54" i="64"/>
  <c r="K53" i="64"/>
  <c r="K52" i="64"/>
  <c r="K51" i="64"/>
  <c r="K50" i="64"/>
  <c r="K49" i="64"/>
  <c r="K48" i="64"/>
  <c r="K47" i="64"/>
  <c r="K46" i="64"/>
  <c r="K45" i="64"/>
  <c r="K44" i="64"/>
  <c r="K43" i="64"/>
  <c r="K42" i="64"/>
  <c r="K41" i="64"/>
  <c r="K40" i="64"/>
  <c r="K39" i="64"/>
  <c r="K38" i="64"/>
  <c r="K37" i="64"/>
  <c r="K34" i="64"/>
  <c r="K33" i="64"/>
  <c r="H71" i="64"/>
  <c r="H70" i="64"/>
  <c r="H69" i="64"/>
  <c r="H68" i="64"/>
  <c r="H67" i="64"/>
  <c r="H66" i="64"/>
  <c r="H65" i="64"/>
  <c r="H64" i="64"/>
  <c r="H63" i="64"/>
  <c r="H62" i="64"/>
  <c r="H61" i="64"/>
  <c r="H60" i="64"/>
  <c r="H59" i="64"/>
  <c r="H58" i="64"/>
  <c r="H57" i="64"/>
  <c r="H56" i="64"/>
  <c r="H55" i="64"/>
  <c r="H54" i="64"/>
  <c r="H53" i="64"/>
  <c r="H52" i="64"/>
  <c r="H51" i="64"/>
  <c r="H50" i="64"/>
  <c r="H49" i="64"/>
  <c r="H48" i="64"/>
  <c r="H47" i="64"/>
  <c r="H46" i="64"/>
  <c r="H45" i="64"/>
  <c r="H44" i="64"/>
  <c r="H43" i="64"/>
  <c r="H42" i="64"/>
  <c r="H41" i="64"/>
  <c r="H40" i="64"/>
  <c r="H39" i="64"/>
  <c r="H38" i="64"/>
  <c r="H37" i="64"/>
  <c r="H34" i="64"/>
  <c r="H33" i="64"/>
  <c r="F69" i="64"/>
  <c r="F68" i="64"/>
  <c r="F67" i="64"/>
  <c r="F66" i="64"/>
  <c r="F65" i="64"/>
  <c r="F64" i="64"/>
  <c r="F63" i="64"/>
  <c r="F62" i="64"/>
  <c r="F61" i="64"/>
  <c r="F60" i="64"/>
  <c r="F59" i="64"/>
  <c r="F58" i="64"/>
  <c r="M110" i="66" s="1"/>
  <c r="F57" i="64"/>
  <c r="L110" i="66" s="1"/>
  <c r="F56" i="64"/>
  <c r="K110" i="66" s="1"/>
  <c r="F55" i="64"/>
  <c r="F54" i="64"/>
  <c r="I110" i="66" s="1"/>
  <c r="F53" i="64"/>
  <c r="H110" i="66" s="1"/>
  <c r="F52" i="64"/>
  <c r="G110" i="66" s="1"/>
  <c r="F51" i="64"/>
  <c r="F110" i="66" s="1"/>
  <c r="F50" i="64"/>
  <c r="E110" i="66" s="1"/>
  <c r="F49" i="64"/>
  <c r="D110" i="66" s="1"/>
  <c r="F48" i="64"/>
  <c r="C110" i="66" s="1"/>
  <c r="F47" i="64"/>
  <c r="M8" i="65" s="1"/>
  <c r="F46" i="64"/>
  <c r="F45" i="64"/>
  <c r="K8" i="65" s="1"/>
  <c r="F44" i="64"/>
  <c r="J8" i="65" s="1"/>
  <c r="F43" i="64"/>
  <c r="I8" i="65" s="1"/>
  <c r="F42" i="64"/>
  <c r="H8" i="65" s="1"/>
  <c r="F41" i="64"/>
  <c r="G8" i="65" s="1"/>
  <c r="F40" i="64"/>
  <c r="F8" i="65" s="1"/>
  <c r="F39" i="64"/>
  <c r="E8" i="65" s="1"/>
  <c r="F38" i="64"/>
  <c r="J110" i="66" l="1"/>
  <c r="D8" i="65"/>
  <c r="L8" i="65"/>
  <c r="O110" i="66"/>
  <c r="G15" i="52"/>
  <c r="S15" i="52"/>
  <c r="D111" i="66"/>
  <c r="D112" i="66" s="1"/>
  <c r="D113" i="66" s="1"/>
  <c r="D114" i="66" s="1"/>
  <c r="D115" i="66" s="1"/>
  <c r="D116" i="66" s="1"/>
  <c r="D117" i="66" s="1"/>
  <c r="D118" i="66" s="1"/>
  <c r="D119" i="66" s="1"/>
  <c r="D120" i="66" s="1"/>
  <c r="D121" i="66" s="1"/>
  <c r="P110" i="66"/>
  <c r="H111" i="66"/>
  <c r="H112" i="66" s="1"/>
  <c r="H113" i="66" s="1"/>
  <c r="H114" i="66" s="1"/>
  <c r="H115" i="66" s="1"/>
  <c r="H116" i="66" s="1"/>
  <c r="H117" i="66" s="1"/>
  <c r="H118" i="66" s="1"/>
  <c r="H119" i="66" s="1"/>
  <c r="H120" i="66" s="1"/>
  <c r="H121" i="66" s="1"/>
  <c r="T110" i="66"/>
  <c r="L111" i="66"/>
  <c r="L112" i="66" s="1"/>
  <c r="L113" i="66" s="1"/>
  <c r="L114" i="66" s="1"/>
  <c r="L115" i="66" s="1"/>
  <c r="L116" i="66" s="1"/>
  <c r="L117" i="66" s="1"/>
  <c r="L118" i="66" s="1"/>
  <c r="L119" i="66" s="1"/>
  <c r="L120" i="66" s="1"/>
  <c r="L121" i="66" s="1"/>
  <c r="X110" i="66"/>
  <c r="Q110" i="66"/>
  <c r="E111" i="66"/>
  <c r="E112" i="66" s="1"/>
  <c r="E113" i="66" s="1"/>
  <c r="E114" i="66" s="1"/>
  <c r="E115" i="66" s="1"/>
  <c r="E116" i="66" s="1"/>
  <c r="E117" i="66" s="1"/>
  <c r="E118" i="66" s="1"/>
  <c r="E119" i="66" s="1"/>
  <c r="E120" i="66" s="1"/>
  <c r="E121" i="66" s="1"/>
  <c r="U110" i="66"/>
  <c r="I111" i="66"/>
  <c r="I112" i="66" s="1"/>
  <c r="I113" i="66" s="1"/>
  <c r="I114" i="66" s="1"/>
  <c r="I115" i="66" s="1"/>
  <c r="I116" i="66" s="1"/>
  <c r="I117" i="66" s="1"/>
  <c r="I118" i="66" s="1"/>
  <c r="I119" i="66" s="1"/>
  <c r="I120" i="66" s="1"/>
  <c r="I121" i="66" s="1"/>
  <c r="Y110" i="66"/>
  <c r="M111" i="66"/>
  <c r="M112" i="66" s="1"/>
  <c r="M113" i="66" s="1"/>
  <c r="M114" i="66" s="1"/>
  <c r="M115" i="66" s="1"/>
  <c r="M116" i="66" s="1"/>
  <c r="M117" i="66" s="1"/>
  <c r="M118" i="66" s="1"/>
  <c r="M119" i="66" s="1"/>
  <c r="M120" i="66" s="1"/>
  <c r="M121" i="66" s="1"/>
  <c r="F111" i="66"/>
  <c r="F112" i="66" s="1"/>
  <c r="F113" i="66" s="1"/>
  <c r="F114" i="66" s="1"/>
  <c r="F115" i="66" s="1"/>
  <c r="F116" i="66" s="1"/>
  <c r="F117" i="66" s="1"/>
  <c r="F118" i="66" s="1"/>
  <c r="F119" i="66" s="1"/>
  <c r="F120" i="66" s="1"/>
  <c r="F121" i="66" s="1"/>
  <c r="R110" i="66"/>
  <c r="J111" i="66"/>
  <c r="J112" i="66" s="1"/>
  <c r="J113" i="66" s="1"/>
  <c r="J114" i="66" s="1"/>
  <c r="J115" i="66" s="1"/>
  <c r="J116" i="66" s="1"/>
  <c r="J117" i="66" s="1"/>
  <c r="J118" i="66" s="1"/>
  <c r="J119" i="66" s="1"/>
  <c r="J120" i="66" s="1"/>
  <c r="J121" i="66" s="1"/>
  <c r="V110" i="66"/>
  <c r="G111" i="66"/>
  <c r="G112" i="66" s="1"/>
  <c r="G113" i="66" s="1"/>
  <c r="G114" i="66" s="1"/>
  <c r="G115" i="66" s="1"/>
  <c r="G116" i="66" s="1"/>
  <c r="G117" i="66" s="1"/>
  <c r="G118" i="66" s="1"/>
  <c r="G119" i="66" s="1"/>
  <c r="G120" i="66" s="1"/>
  <c r="G121" i="66" s="1"/>
  <c r="S110" i="66"/>
  <c r="K111" i="66"/>
  <c r="K112" i="66" s="1"/>
  <c r="K113" i="66" s="1"/>
  <c r="K114" i="66" s="1"/>
  <c r="K115" i="66" s="1"/>
  <c r="K116" i="66" s="1"/>
  <c r="K117" i="66" s="1"/>
  <c r="K118" i="66" s="1"/>
  <c r="K119" i="66" s="1"/>
  <c r="K120" i="66" s="1"/>
  <c r="K121" i="66" s="1"/>
  <c r="W110" i="66"/>
  <c r="Q17" i="52"/>
  <c r="U17" i="52"/>
  <c r="C9" i="65"/>
  <c r="C10" i="65" s="1"/>
  <c r="C11" i="65" s="1"/>
  <c r="C12" i="65" s="1"/>
  <c r="C13" i="65" s="1"/>
  <c r="C14" i="65" s="1"/>
  <c r="C15" i="65" s="1"/>
  <c r="C16" i="65" s="1"/>
  <c r="C17" i="65" s="1"/>
  <c r="C18" i="65" s="1"/>
  <c r="C19" i="65" s="1"/>
  <c r="O8" i="65"/>
  <c r="S8" i="65"/>
  <c r="G9" i="65"/>
  <c r="G10" i="65" s="1"/>
  <c r="G11" i="65" s="1"/>
  <c r="G12" i="65" s="1"/>
  <c r="G13" i="65" s="1"/>
  <c r="G14" i="65" s="1"/>
  <c r="G15" i="65" s="1"/>
  <c r="G16" i="65" s="1"/>
  <c r="G17" i="65" s="1"/>
  <c r="G18" i="65" s="1"/>
  <c r="G19" i="65" s="1"/>
  <c r="K9" i="65"/>
  <c r="K10" i="65" s="1"/>
  <c r="K11" i="65" s="1"/>
  <c r="K12" i="65" s="1"/>
  <c r="K13" i="65" s="1"/>
  <c r="K14" i="65" s="1"/>
  <c r="K15" i="65" s="1"/>
  <c r="K16" i="65" s="1"/>
  <c r="K17" i="65" s="1"/>
  <c r="K18" i="65" s="1"/>
  <c r="K19" i="65" s="1"/>
  <c r="W8" i="65"/>
  <c r="Q8" i="65"/>
  <c r="E9" i="65"/>
  <c r="E10" i="65" s="1"/>
  <c r="E11" i="65" s="1"/>
  <c r="E12" i="65" s="1"/>
  <c r="E13" i="65" s="1"/>
  <c r="E14" i="65" s="1"/>
  <c r="E15" i="65" s="1"/>
  <c r="E16" i="65" s="1"/>
  <c r="E17" i="65" s="1"/>
  <c r="E18" i="65" s="1"/>
  <c r="E19" i="65" s="1"/>
  <c r="U8" i="65"/>
  <c r="I9" i="65"/>
  <c r="I10" i="65" s="1"/>
  <c r="I11" i="65" s="1"/>
  <c r="I12" i="65" s="1"/>
  <c r="I13" i="65" s="1"/>
  <c r="I14" i="65" s="1"/>
  <c r="I15" i="65" s="1"/>
  <c r="I16" i="65" s="1"/>
  <c r="I17" i="65" s="1"/>
  <c r="I18" i="65" s="1"/>
  <c r="I19" i="65" s="1"/>
  <c r="Y8" i="65"/>
  <c r="M9" i="65"/>
  <c r="M10" i="65" s="1"/>
  <c r="M11" i="65" s="1"/>
  <c r="M12" i="65" s="1"/>
  <c r="M13" i="65" s="1"/>
  <c r="M14" i="65" s="1"/>
  <c r="M15" i="65" s="1"/>
  <c r="M16" i="65" s="1"/>
  <c r="M17" i="65" s="1"/>
  <c r="M18" i="65" s="1"/>
  <c r="M19" i="65" s="1"/>
  <c r="R8" i="65"/>
  <c r="F9" i="65"/>
  <c r="F10" i="65" s="1"/>
  <c r="F11" i="65" s="1"/>
  <c r="F12" i="65" s="1"/>
  <c r="F13" i="65" s="1"/>
  <c r="F14" i="65" s="1"/>
  <c r="F15" i="65" s="1"/>
  <c r="F16" i="65" s="1"/>
  <c r="F17" i="65" s="1"/>
  <c r="F18" i="65" s="1"/>
  <c r="F19" i="65" s="1"/>
  <c r="V8" i="65"/>
  <c r="J9" i="65"/>
  <c r="J10" i="65" s="1"/>
  <c r="J11" i="65" s="1"/>
  <c r="J12" i="65" s="1"/>
  <c r="J13" i="65" s="1"/>
  <c r="J14" i="65" s="1"/>
  <c r="J15" i="65" s="1"/>
  <c r="J16" i="65" s="1"/>
  <c r="J17" i="65" s="1"/>
  <c r="J18" i="65" s="1"/>
  <c r="J19" i="65" s="1"/>
  <c r="O17" i="52"/>
  <c r="T15" i="52"/>
  <c r="P15" i="52"/>
  <c r="P8" i="65"/>
  <c r="D9" i="65"/>
  <c r="D10" i="65" s="1"/>
  <c r="D11" i="65" s="1"/>
  <c r="D12" i="65" s="1"/>
  <c r="D13" i="65" s="1"/>
  <c r="D14" i="65" s="1"/>
  <c r="D15" i="65" s="1"/>
  <c r="D16" i="65" s="1"/>
  <c r="D17" i="65" s="1"/>
  <c r="D18" i="65" s="1"/>
  <c r="D19" i="65" s="1"/>
  <c r="T8" i="65"/>
  <c r="H9" i="65"/>
  <c r="H10" i="65" s="1"/>
  <c r="H11" i="65" s="1"/>
  <c r="H12" i="65" s="1"/>
  <c r="H13" i="65" s="1"/>
  <c r="H14" i="65" s="1"/>
  <c r="H15" i="65" s="1"/>
  <c r="H16" i="65" s="1"/>
  <c r="H17" i="65" s="1"/>
  <c r="H18" i="65" s="1"/>
  <c r="H19" i="65" s="1"/>
  <c r="X8" i="65"/>
  <c r="L9" i="65"/>
  <c r="L10" i="65" s="1"/>
  <c r="L11" i="65" s="1"/>
  <c r="L12" i="65" s="1"/>
  <c r="L13" i="65" s="1"/>
  <c r="L14" i="65" s="1"/>
  <c r="L15" i="65" s="1"/>
  <c r="L16" i="65" s="1"/>
  <c r="L17" i="65" s="1"/>
  <c r="L18" i="65" s="1"/>
  <c r="L19" i="65" s="1"/>
  <c r="X15" i="52"/>
  <c r="V15" i="52"/>
  <c r="W16" i="52"/>
  <c r="Y17" i="52"/>
  <c r="R15" i="52"/>
  <c r="P115" i="53"/>
  <c r="U115" i="53"/>
  <c r="V115" i="53"/>
  <c r="R115" i="53"/>
  <c r="W115" i="53"/>
  <c r="O115" i="53"/>
  <c r="Y115" i="53"/>
  <c r="X115" i="53"/>
  <c r="T115" i="53"/>
  <c r="S115" i="53"/>
  <c r="Q115" i="53"/>
  <c r="H2" i="67"/>
  <c r="H1" i="67"/>
  <c r="AZ2" i="66"/>
  <c r="AZ1" i="66"/>
  <c r="L2" i="64"/>
  <c r="L1" i="64"/>
  <c r="D9" i="67"/>
  <c r="B130" i="66"/>
  <c r="B131" i="66" s="1"/>
  <c r="B132" i="66" s="1"/>
  <c r="B133" i="66" s="1"/>
  <c r="B134" i="66" s="1"/>
  <c r="B135" i="66" s="1"/>
  <c r="B136" i="66" s="1"/>
  <c r="B137" i="66" s="1"/>
  <c r="B138" i="66" s="1"/>
  <c r="B139" i="66" s="1"/>
  <c r="B140" i="66" s="1"/>
  <c r="AW121" i="66"/>
  <c r="AV121" i="66"/>
  <c r="AU121" i="66"/>
  <c r="AT121" i="66"/>
  <c r="AS121" i="66"/>
  <c r="AR121" i="66"/>
  <c r="AQ121" i="66"/>
  <c r="AP121" i="66"/>
  <c r="AO121" i="66"/>
  <c r="AN121" i="66"/>
  <c r="AM121" i="66"/>
  <c r="AL121" i="66"/>
  <c r="AW120" i="66"/>
  <c r="AV120" i="66"/>
  <c r="AU120" i="66"/>
  <c r="AT120" i="66"/>
  <c r="AS120" i="66"/>
  <c r="AR120" i="66"/>
  <c r="AQ120" i="66"/>
  <c r="AP120" i="66"/>
  <c r="AO120" i="66"/>
  <c r="AN120" i="66"/>
  <c r="AM120" i="66"/>
  <c r="AL120" i="66"/>
  <c r="AW119" i="66"/>
  <c r="AV119" i="66"/>
  <c r="AU119" i="66"/>
  <c r="AT119" i="66"/>
  <c r="AS119" i="66"/>
  <c r="AR119" i="66"/>
  <c r="AQ119" i="66"/>
  <c r="AP119" i="66"/>
  <c r="AO119" i="66"/>
  <c r="AN119" i="66"/>
  <c r="AM119" i="66"/>
  <c r="AL119" i="66"/>
  <c r="AW118" i="66"/>
  <c r="AV118" i="66"/>
  <c r="AU118" i="66"/>
  <c r="AT118" i="66"/>
  <c r="AS118" i="66"/>
  <c r="AR118" i="66"/>
  <c r="AQ118" i="66"/>
  <c r="AP118" i="66"/>
  <c r="AO118" i="66"/>
  <c r="AN118" i="66"/>
  <c r="AM118" i="66"/>
  <c r="AL118" i="66"/>
  <c r="AW117" i="66"/>
  <c r="AV117" i="66"/>
  <c r="AU117" i="66"/>
  <c r="AT117" i="66"/>
  <c r="AS117" i="66"/>
  <c r="AR117" i="66"/>
  <c r="AQ117" i="66"/>
  <c r="AP117" i="66"/>
  <c r="AO117" i="66"/>
  <c r="AN117" i="66"/>
  <c r="AM117" i="66"/>
  <c r="AL117" i="66"/>
  <c r="AW116" i="66"/>
  <c r="AV116" i="66"/>
  <c r="AU116" i="66"/>
  <c r="AT116" i="66"/>
  <c r="AS116" i="66"/>
  <c r="AR116" i="66"/>
  <c r="AQ116" i="66"/>
  <c r="AP116" i="66"/>
  <c r="AO116" i="66"/>
  <c r="AN116" i="66"/>
  <c r="AM116" i="66"/>
  <c r="AL116" i="66"/>
  <c r="AW115" i="66"/>
  <c r="AV115" i="66"/>
  <c r="AU115" i="66"/>
  <c r="AT115" i="66"/>
  <c r="AS115" i="66"/>
  <c r="AR115" i="66"/>
  <c r="AQ115" i="66"/>
  <c r="AP115" i="66"/>
  <c r="AO115" i="66"/>
  <c r="AN115" i="66"/>
  <c r="AM115" i="66"/>
  <c r="AL115" i="66"/>
  <c r="AW114" i="66"/>
  <c r="AV114" i="66"/>
  <c r="AU114" i="66"/>
  <c r="AT114" i="66"/>
  <c r="AS114" i="66"/>
  <c r="AR114" i="66"/>
  <c r="AQ114" i="66"/>
  <c r="AP114" i="66"/>
  <c r="AO114" i="66"/>
  <c r="AN114" i="66"/>
  <c r="AM114" i="66"/>
  <c r="AL114" i="66"/>
  <c r="AW113" i="66"/>
  <c r="AV113" i="66"/>
  <c r="AU113" i="66"/>
  <c r="AT113" i="66"/>
  <c r="AS113" i="66"/>
  <c r="AR113" i="66"/>
  <c r="AQ113" i="66"/>
  <c r="AP113" i="66"/>
  <c r="AO113" i="66"/>
  <c r="AN113" i="66"/>
  <c r="AM113" i="66"/>
  <c r="AL113" i="66"/>
  <c r="AW112" i="66"/>
  <c r="AV112" i="66"/>
  <c r="AU112" i="66"/>
  <c r="AT112" i="66"/>
  <c r="AS112" i="66"/>
  <c r="AR112" i="66"/>
  <c r="AQ112" i="66"/>
  <c r="AP112" i="66"/>
  <c r="AO112" i="66"/>
  <c r="AN112" i="66"/>
  <c r="AM112" i="66"/>
  <c r="AL112" i="66"/>
  <c r="AW111" i="66"/>
  <c r="AV111" i="66"/>
  <c r="AU111" i="66"/>
  <c r="AT111" i="66"/>
  <c r="AS111" i="66"/>
  <c r="AR111" i="66"/>
  <c r="AQ111" i="66"/>
  <c r="AP111" i="66"/>
  <c r="AO111" i="66"/>
  <c r="AN111" i="66"/>
  <c r="AM111" i="66"/>
  <c r="AL111" i="66"/>
  <c r="AW110" i="66"/>
  <c r="AV110" i="66"/>
  <c r="AU110" i="66"/>
  <c r="AT110" i="66"/>
  <c r="AS110" i="66"/>
  <c r="AR110" i="66"/>
  <c r="AQ110" i="66"/>
  <c r="AP110" i="66"/>
  <c r="AO110" i="66"/>
  <c r="AN110" i="66"/>
  <c r="AM110" i="66"/>
  <c r="AL110" i="66"/>
  <c r="B111" i="66"/>
  <c r="B112" i="66" s="1"/>
  <c r="B113" i="66" s="1"/>
  <c r="B114" i="66" s="1"/>
  <c r="B115" i="66" s="1"/>
  <c r="B116" i="66" s="1"/>
  <c r="B117" i="66" s="1"/>
  <c r="B118" i="66" s="1"/>
  <c r="B119" i="66" s="1"/>
  <c r="B120" i="66" s="1"/>
  <c r="B121" i="66" s="1"/>
  <c r="AW108" i="66"/>
  <c r="AV108" i="66"/>
  <c r="AU108" i="66"/>
  <c r="AT108" i="66"/>
  <c r="AS108" i="66"/>
  <c r="AR108" i="66"/>
  <c r="AQ108" i="66"/>
  <c r="AP108" i="66"/>
  <c r="AO108" i="66"/>
  <c r="AN108" i="66"/>
  <c r="AM108" i="66"/>
  <c r="AL108" i="66"/>
  <c r="AK108" i="66"/>
  <c r="AJ108" i="66"/>
  <c r="AI108" i="66"/>
  <c r="AH108" i="66"/>
  <c r="AG108" i="66"/>
  <c r="AF108" i="66"/>
  <c r="AE108" i="66"/>
  <c r="AD108" i="66"/>
  <c r="AC108" i="66"/>
  <c r="AB108" i="66"/>
  <c r="AA108" i="66"/>
  <c r="Z108" i="66"/>
  <c r="Y108" i="66"/>
  <c r="X108" i="66"/>
  <c r="W108" i="66"/>
  <c r="V108" i="66"/>
  <c r="U108" i="66"/>
  <c r="T108" i="66"/>
  <c r="S108" i="66"/>
  <c r="R108" i="66"/>
  <c r="Q108" i="66"/>
  <c r="P108" i="66"/>
  <c r="O108" i="66"/>
  <c r="AE100" i="66"/>
  <c r="AD100" i="66"/>
  <c r="X100" i="66"/>
  <c r="W100" i="66"/>
  <c r="V100" i="66"/>
  <c r="U100" i="66"/>
  <c r="T100" i="66"/>
  <c r="S100" i="66"/>
  <c r="AE99" i="66"/>
  <c r="AD99" i="66"/>
  <c r="X99" i="66"/>
  <c r="W99" i="66"/>
  <c r="V99" i="66"/>
  <c r="U99" i="66"/>
  <c r="T99" i="66"/>
  <c r="S99" i="66"/>
  <c r="AE98" i="66"/>
  <c r="AD98" i="66"/>
  <c r="X98" i="66"/>
  <c r="W98" i="66"/>
  <c r="V98" i="66"/>
  <c r="U98" i="66"/>
  <c r="T98" i="66"/>
  <c r="S98" i="66"/>
  <c r="AE97" i="66"/>
  <c r="AD97" i="66"/>
  <c r="X97" i="66"/>
  <c r="W97" i="66"/>
  <c r="V97" i="66"/>
  <c r="U97" i="66"/>
  <c r="T97" i="66"/>
  <c r="S97" i="66"/>
  <c r="AE96" i="66"/>
  <c r="AD96" i="66"/>
  <c r="X96" i="66"/>
  <c r="W96" i="66"/>
  <c r="V96" i="66"/>
  <c r="U96" i="66"/>
  <c r="T96" i="66"/>
  <c r="S96" i="66"/>
  <c r="AE95" i="66"/>
  <c r="AD95" i="66"/>
  <c r="X95" i="66"/>
  <c r="W95" i="66"/>
  <c r="V95" i="66"/>
  <c r="U95" i="66"/>
  <c r="T95" i="66"/>
  <c r="S95" i="66"/>
  <c r="AE94" i="66"/>
  <c r="AD94" i="66"/>
  <c r="X94" i="66"/>
  <c r="W94" i="66"/>
  <c r="V94" i="66"/>
  <c r="U94" i="66"/>
  <c r="T94" i="66"/>
  <c r="S94" i="66"/>
  <c r="AE93" i="66"/>
  <c r="AD93" i="66"/>
  <c r="X93" i="66"/>
  <c r="W93" i="66"/>
  <c r="V93" i="66"/>
  <c r="U93" i="66"/>
  <c r="T93" i="66"/>
  <c r="S93" i="66"/>
  <c r="AE92" i="66"/>
  <c r="AD92" i="66"/>
  <c r="X92" i="66"/>
  <c r="W92" i="66"/>
  <c r="V92" i="66"/>
  <c r="U92" i="66"/>
  <c r="T92" i="66"/>
  <c r="S92" i="66"/>
  <c r="AE91" i="66"/>
  <c r="AD91" i="66"/>
  <c r="X91" i="66"/>
  <c r="W91" i="66"/>
  <c r="V91" i="66"/>
  <c r="U91" i="66"/>
  <c r="T91" i="66"/>
  <c r="AB91" i="66" s="1"/>
  <c r="S91" i="66"/>
  <c r="AE90" i="66"/>
  <c r="AD90" i="66"/>
  <c r="X90" i="66"/>
  <c r="W90" i="66"/>
  <c r="V90" i="66"/>
  <c r="U90" i="66"/>
  <c r="T90" i="66"/>
  <c r="S90" i="66"/>
  <c r="AE89" i="66"/>
  <c r="AD89" i="66"/>
  <c r="AD101" i="66" s="1"/>
  <c r="X89" i="66"/>
  <c r="W89" i="66"/>
  <c r="V89" i="66"/>
  <c r="U89" i="66"/>
  <c r="T89" i="66"/>
  <c r="S89" i="66"/>
  <c r="B90" i="66"/>
  <c r="B91" i="66" s="1"/>
  <c r="B92" i="66" s="1"/>
  <c r="B93" i="66" s="1"/>
  <c r="B94" i="66" s="1"/>
  <c r="B95" i="66" s="1"/>
  <c r="B96" i="66" s="1"/>
  <c r="B97" i="66" s="1"/>
  <c r="B98" i="66" s="1"/>
  <c r="B99" i="66" s="1"/>
  <c r="B100" i="66" s="1"/>
  <c r="R88" i="66"/>
  <c r="Q88" i="66"/>
  <c r="P88" i="66"/>
  <c r="O88" i="66"/>
  <c r="N88" i="66"/>
  <c r="M88" i="66"/>
  <c r="L88" i="66"/>
  <c r="K88" i="66"/>
  <c r="J88" i="66"/>
  <c r="I88" i="66"/>
  <c r="H88" i="66"/>
  <c r="G88" i="66"/>
  <c r="T80" i="66"/>
  <c r="S80" i="66"/>
  <c r="Q80" i="66"/>
  <c r="P80" i="66"/>
  <c r="O80" i="66"/>
  <c r="R80" i="66" s="1"/>
  <c r="U80" i="66" s="1"/>
  <c r="N80" i="66"/>
  <c r="M80" i="66"/>
  <c r="L80" i="66"/>
  <c r="K80" i="66"/>
  <c r="J80" i="66"/>
  <c r="B62" i="66"/>
  <c r="B63" i="66" s="1"/>
  <c r="B64" i="66" s="1"/>
  <c r="B65" i="66" s="1"/>
  <c r="B66" i="66" s="1"/>
  <c r="B67" i="66" s="1"/>
  <c r="B68" i="66" s="1"/>
  <c r="B69" i="66" s="1"/>
  <c r="B70" i="66" s="1"/>
  <c r="B71" i="66" s="1"/>
  <c r="B72" i="66" s="1"/>
  <c r="P53" i="66"/>
  <c r="L53" i="66"/>
  <c r="K53" i="66"/>
  <c r="K55" i="66" s="1"/>
  <c r="J53" i="66"/>
  <c r="I53" i="66"/>
  <c r="N53" i="66" s="1"/>
  <c r="H53" i="66"/>
  <c r="L52" i="66"/>
  <c r="Q52" i="66" s="1"/>
  <c r="K52" i="66"/>
  <c r="P52" i="66" s="1"/>
  <c r="J52" i="66"/>
  <c r="O52" i="66" s="1"/>
  <c r="I52" i="66"/>
  <c r="N52" i="66" s="1"/>
  <c r="H52" i="66"/>
  <c r="M52" i="66" s="1"/>
  <c r="L47" i="66"/>
  <c r="K47" i="66"/>
  <c r="L46" i="66"/>
  <c r="K46" i="66"/>
  <c r="L45" i="66"/>
  <c r="K45" i="66"/>
  <c r="L44" i="66"/>
  <c r="K44" i="66"/>
  <c r="L43" i="66"/>
  <c r="K43" i="66"/>
  <c r="L42" i="66"/>
  <c r="K42" i="66"/>
  <c r="L41" i="66"/>
  <c r="K41" i="66"/>
  <c r="L40" i="66"/>
  <c r="K40" i="66"/>
  <c r="L39" i="66"/>
  <c r="K39" i="66"/>
  <c r="L38" i="66"/>
  <c r="K38" i="66"/>
  <c r="L37" i="66"/>
  <c r="K37" i="66"/>
  <c r="L36" i="66"/>
  <c r="K36" i="66"/>
  <c r="J36" i="66"/>
  <c r="B37" i="66"/>
  <c r="B38" i="66" s="1"/>
  <c r="B39" i="66" s="1"/>
  <c r="B40" i="66" s="1"/>
  <c r="B41" i="66" s="1"/>
  <c r="B42" i="66" s="1"/>
  <c r="B43" i="66" s="1"/>
  <c r="B44" i="66" s="1"/>
  <c r="B45" i="66" s="1"/>
  <c r="B46" i="66" s="1"/>
  <c r="B47" i="66" s="1"/>
  <c r="G35" i="66"/>
  <c r="L35" i="66" s="1"/>
  <c r="F35" i="66"/>
  <c r="K35" i="66" s="1"/>
  <c r="E35" i="66"/>
  <c r="J35" i="66" s="1"/>
  <c r="D35" i="66"/>
  <c r="I35" i="66" s="1"/>
  <c r="C35" i="66"/>
  <c r="H35" i="66" s="1"/>
  <c r="J28" i="66"/>
  <c r="J46" i="66" s="1"/>
  <c r="I28" i="66"/>
  <c r="H28" i="66"/>
  <c r="E28" i="66"/>
  <c r="D28" i="66"/>
  <c r="I39" i="66" s="1"/>
  <c r="C28" i="66"/>
  <c r="L27" i="66"/>
  <c r="K27" i="66"/>
  <c r="J27" i="66"/>
  <c r="I27" i="66"/>
  <c r="H27" i="66"/>
  <c r="Z19" i="66"/>
  <c r="Y19" i="66"/>
  <c r="X19" i="66"/>
  <c r="W19" i="66"/>
  <c r="V19" i="66"/>
  <c r="U19" i="66"/>
  <c r="T19" i="66"/>
  <c r="S19" i="66"/>
  <c r="R19" i="66"/>
  <c r="Q19" i="66"/>
  <c r="P19" i="66"/>
  <c r="O19" i="66"/>
  <c r="Z18" i="66"/>
  <c r="Y18" i="66"/>
  <c r="X18" i="66"/>
  <c r="W18" i="66"/>
  <c r="V18" i="66"/>
  <c r="U18" i="66"/>
  <c r="T18" i="66"/>
  <c r="S18" i="66"/>
  <c r="R18" i="66"/>
  <c r="Q18" i="66"/>
  <c r="P18" i="66"/>
  <c r="O18" i="66"/>
  <c r="Z17" i="66"/>
  <c r="Y17" i="66"/>
  <c r="X17" i="66"/>
  <c r="W17" i="66"/>
  <c r="V17" i="66"/>
  <c r="U17" i="66"/>
  <c r="T17" i="66"/>
  <c r="S17" i="66"/>
  <c r="R17" i="66"/>
  <c r="Q17" i="66"/>
  <c r="P17" i="66"/>
  <c r="O17" i="66"/>
  <c r="Z16" i="66"/>
  <c r="Y16" i="66"/>
  <c r="X16" i="66"/>
  <c r="W16" i="66"/>
  <c r="V16" i="66"/>
  <c r="U16" i="66"/>
  <c r="T16" i="66"/>
  <c r="S16" i="66"/>
  <c r="R16" i="66"/>
  <c r="Q16" i="66"/>
  <c r="P16" i="66"/>
  <c r="O16" i="66"/>
  <c r="Z15" i="66"/>
  <c r="Y15" i="66"/>
  <c r="X15" i="66"/>
  <c r="W15" i="66"/>
  <c r="V15" i="66"/>
  <c r="U15" i="66"/>
  <c r="T15" i="66"/>
  <c r="S15" i="66"/>
  <c r="R15" i="66"/>
  <c r="Q15" i="66"/>
  <c r="P15" i="66"/>
  <c r="O15" i="66"/>
  <c r="Z14" i="66"/>
  <c r="Y14" i="66"/>
  <c r="X14" i="66"/>
  <c r="W14" i="66"/>
  <c r="V14" i="66"/>
  <c r="U14" i="66"/>
  <c r="T14" i="66"/>
  <c r="S14" i="66"/>
  <c r="R14" i="66"/>
  <c r="Q14" i="66"/>
  <c r="P14" i="66"/>
  <c r="O14" i="66"/>
  <c r="Z13" i="66"/>
  <c r="Y13" i="66"/>
  <c r="X13" i="66"/>
  <c r="W13" i="66"/>
  <c r="V13" i="66"/>
  <c r="U13" i="66"/>
  <c r="T13" i="66"/>
  <c r="S13" i="66"/>
  <c r="R13" i="66"/>
  <c r="Q13" i="66"/>
  <c r="P13" i="66"/>
  <c r="O13" i="66"/>
  <c r="Z12" i="66"/>
  <c r="Y12" i="66"/>
  <c r="X12" i="66"/>
  <c r="W12" i="66"/>
  <c r="V12" i="66"/>
  <c r="U12" i="66"/>
  <c r="T12" i="66"/>
  <c r="S12" i="66"/>
  <c r="R12" i="66"/>
  <c r="Q12" i="66"/>
  <c r="P12" i="66"/>
  <c r="O12" i="66"/>
  <c r="Z11" i="66"/>
  <c r="Y11" i="66"/>
  <c r="X11" i="66"/>
  <c r="W11" i="66"/>
  <c r="V11" i="66"/>
  <c r="U11" i="66"/>
  <c r="T11" i="66"/>
  <c r="S11" i="66"/>
  <c r="R11" i="66"/>
  <c r="Q11" i="66"/>
  <c r="P11" i="66"/>
  <c r="O11" i="66"/>
  <c r="Z10" i="66"/>
  <c r="Y10" i="66"/>
  <c r="X10" i="66"/>
  <c r="W10" i="66"/>
  <c r="V10" i="66"/>
  <c r="U10" i="66"/>
  <c r="T10" i="66"/>
  <c r="S10" i="66"/>
  <c r="R10" i="66"/>
  <c r="Q10" i="66"/>
  <c r="P10" i="66"/>
  <c r="O10" i="66"/>
  <c r="Z9" i="66"/>
  <c r="Y9" i="66"/>
  <c r="X9" i="66"/>
  <c r="W9" i="66"/>
  <c r="V9" i="66"/>
  <c r="U9" i="66"/>
  <c r="T9" i="66"/>
  <c r="S9" i="66"/>
  <c r="R9" i="66"/>
  <c r="Q9" i="66"/>
  <c r="P9" i="66"/>
  <c r="O9" i="66"/>
  <c r="Z8" i="66"/>
  <c r="Y8" i="66"/>
  <c r="X8" i="66"/>
  <c r="W8" i="66"/>
  <c r="V8" i="66"/>
  <c r="U8" i="66"/>
  <c r="T8" i="66"/>
  <c r="S8" i="66"/>
  <c r="R8" i="66"/>
  <c r="Q8" i="66"/>
  <c r="P8" i="66"/>
  <c r="O8" i="66"/>
  <c r="B9" i="66"/>
  <c r="B10" i="66" s="1"/>
  <c r="B11" i="66" s="1"/>
  <c r="B12" i="66" s="1"/>
  <c r="B13" i="66" s="1"/>
  <c r="B14" i="66" s="1"/>
  <c r="B15" i="66" s="1"/>
  <c r="B16" i="66" s="1"/>
  <c r="B17" i="66" s="1"/>
  <c r="B18" i="66" s="1"/>
  <c r="B19" i="66" s="1"/>
  <c r="Z7" i="66"/>
  <c r="Y7" i="66"/>
  <c r="X7" i="66"/>
  <c r="W7" i="66"/>
  <c r="V7" i="66"/>
  <c r="U7" i="66"/>
  <c r="T7" i="66"/>
  <c r="S7" i="66"/>
  <c r="R7" i="66"/>
  <c r="Q7" i="66"/>
  <c r="P7" i="66"/>
  <c r="O7" i="66"/>
  <c r="B9" i="65"/>
  <c r="B10" i="65" s="1"/>
  <c r="B11" i="65" s="1"/>
  <c r="B12" i="65" s="1"/>
  <c r="B13" i="65" s="1"/>
  <c r="B14" i="65" s="1"/>
  <c r="B15" i="65" s="1"/>
  <c r="B16" i="65" s="1"/>
  <c r="B17" i="65" s="1"/>
  <c r="B18" i="65" s="1"/>
  <c r="B19" i="65" s="1"/>
  <c r="D77" i="64"/>
  <c r="D78" i="64" s="1"/>
  <c r="D79" i="64" s="1"/>
  <c r="D80" i="64" s="1"/>
  <c r="D81" i="64" s="1"/>
  <c r="D82" i="64" s="1"/>
  <c r="D83" i="64" s="1"/>
  <c r="D84" i="64" s="1"/>
  <c r="D85" i="64" s="1"/>
  <c r="D86" i="64" s="1"/>
  <c r="D87" i="64" s="1"/>
  <c r="D2" i="63"/>
  <c r="D1" i="63"/>
  <c r="AB95" i="66" l="1"/>
  <c r="AB96" i="66"/>
  <c r="AB98" i="66"/>
  <c r="I55" i="66"/>
  <c r="AE101" i="66"/>
  <c r="H47" i="66"/>
  <c r="C111" i="66"/>
  <c r="O111" i="66"/>
  <c r="G16" i="52"/>
  <c r="S16" i="52"/>
  <c r="W111" i="66"/>
  <c r="V111" i="66"/>
  <c r="T111" i="66"/>
  <c r="U111" i="66"/>
  <c r="N110" i="66"/>
  <c r="S111" i="66"/>
  <c r="R111" i="66"/>
  <c r="X111" i="66"/>
  <c r="Y111" i="66"/>
  <c r="Q111" i="66"/>
  <c r="P111" i="66"/>
  <c r="Y18" i="52"/>
  <c r="U18" i="52"/>
  <c r="T9" i="65"/>
  <c r="R9" i="65"/>
  <c r="U9" i="65"/>
  <c r="X9" i="65"/>
  <c r="P9" i="65"/>
  <c r="V9" i="65"/>
  <c r="Y9" i="65"/>
  <c r="Q9" i="65"/>
  <c r="S9" i="65"/>
  <c r="V16" i="52"/>
  <c r="T16" i="52"/>
  <c r="R16" i="52"/>
  <c r="W17" i="52"/>
  <c r="X16" i="52"/>
  <c r="P16" i="52"/>
  <c r="O18" i="52"/>
  <c r="W9" i="65"/>
  <c r="O9" i="65"/>
  <c r="Q18" i="52"/>
  <c r="S116" i="53"/>
  <c r="X116" i="53"/>
  <c r="O116" i="53"/>
  <c r="R116" i="53"/>
  <c r="U116" i="53"/>
  <c r="Q116" i="53"/>
  <c r="T116" i="53"/>
  <c r="Y116" i="53"/>
  <c r="W116" i="53"/>
  <c r="V116" i="53"/>
  <c r="P116" i="53"/>
  <c r="AB94" i="66"/>
  <c r="AB89" i="66"/>
  <c r="AB90" i="66"/>
  <c r="I44" i="66"/>
  <c r="I43" i="66"/>
  <c r="I47" i="66"/>
  <c r="O53" i="66"/>
  <c r="J55" i="66"/>
  <c r="AB100" i="66"/>
  <c r="AF100" i="66" s="1"/>
  <c r="F75" i="67" s="1"/>
  <c r="AB92" i="66"/>
  <c r="J45" i="66"/>
  <c r="J40" i="66"/>
  <c r="J44" i="66"/>
  <c r="AB97" i="66"/>
  <c r="AF95" i="66"/>
  <c r="F70" i="67" s="1"/>
  <c r="AF96" i="66"/>
  <c r="F71" i="67" s="1"/>
  <c r="AB99" i="66"/>
  <c r="H45" i="66"/>
  <c r="AF91" i="66"/>
  <c r="F66" i="67" s="1"/>
  <c r="AB93" i="66"/>
  <c r="AF98" i="66"/>
  <c r="F73" i="67" s="1"/>
  <c r="I57" i="66"/>
  <c r="H57" i="66"/>
  <c r="L57" i="66"/>
  <c r="D23" i="67"/>
  <c r="D38" i="67" s="1"/>
  <c r="D51" i="67" s="1"/>
  <c r="D64" i="67" s="1"/>
  <c r="D77" i="67" s="1"/>
  <c r="AA8" i="65"/>
  <c r="F23" i="67" s="1"/>
  <c r="N8" i="65"/>
  <c r="Z9" i="65" s="1"/>
  <c r="AA9" i="66"/>
  <c r="F39" i="67" s="1"/>
  <c r="AA10" i="66"/>
  <c r="F40" i="67" s="1"/>
  <c r="AA12" i="66"/>
  <c r="F42" i="67" s="1"/>
  <c r="AA13" i="66"/>
  <c r="AA14" i="66"/>
  <c r="F44" i="67" s="1"/>
  <c r="AA15" i="66"/>
  <c r="F45" i="67" s="1"/>
  <c r="AA16" i="66"/>
  <c r="F46" i="67" s="1"/>
  <c r="AA17" i="66"/>
  <c r="F47" i="67" s="1"/>
  <c r="AA18" i="66"/>
  <c r="F48" i="67" s="1"/>
  <c r="AA19" i="66"/>
  <c r="F49" i="67" s="1"/>
  <c r="AA11" i="66"/>
  <c r="F41" i="67" s="1"/>
  <c r="AY110" i="66"/>
  <c r="AY112" i="66"/>
  <c r="AY114" i="66"/>
  <c r="AY116" i="66"/>
  <c r="AY118" i="66"/>
  <c r="AY120" i="66"/>
  <c r="AY111" i="66"/>
  <c r="AY113" i="66"/>
  <c r="AY115" i="66"/>
  <c r="AY117" i="66"/>
  <c r="AY119" i="66"/>
  <c r="AY121" i="66"/>
  <c r="AA8" i="66"/>
  <c r="F38" i="67" s="1"/>
  <c r="AX110" i="66"/>
  <c r="D24" i="67"/>
  <c r="D39" i="67" s="1"/>
  <c r="D52" i="67" s="1"/>
  <c r="D65" i="67" s="1"/>
  <c r="D78" i="67" s="1"/>
  <c r="D10" i="67"/>
  <c r="N72" i="66"/>
  <c r="AF89" i="66"/>
  <c r="AB101" i="66"/>
  <c r="AF92" i="66"/>
  <c r="F67" i="67" s="1"/>
  <c r="AF99" i="66"/>
  <c r="F74" i="67" s="1"/>
  <c r="N65" i="66"/>
  <c r="N71" i="66"/>
  <c r="N63" i="66"/>
  <c r="N69" i="66"/>
  <c r="N61" i="66"/>
  <c r="N67" i="66"/>
  <c r="AF94" i="66"/>
  <c r="F69" i="67" s="1"/>
  <c r="H38" i="66"/>
  <c r="H46" i="66"/>
  <c r="H37" i="66"/>
  <c r="I38" i="66"/>
  <c r="J39" i="66"/>
  <c r="H41" i="66"/>
  <c r="I42" i="66"/>
  <c r="J43" i="66"/>
  <c r="I46" i="66"/>
  <c r="J47" i="66"/>
  <c r="M47" i="66" s="1"/>
  <c r="M53" i="66"/>
  <c r="Q53" i="66"/>
  <c r="J57" i="66"/>
  <c r="O64" i="66" s="1"/>
  <c r="N62" i="66"/>
  <c r="N66" i="66"/>
  <c r="N70" i="66"/>
  <c r="H40" i="66"/>
  <c r="H44" i="66"/>
  <c r="M44" i="66" s="1"/>
  <c r="K57" i="66"/>
  <c r="P70" i="66" s="1"/>
  <c r="H42" i="66"/>
  <c r="H36" i="66"/>
  <c r="I37" i="66"/>
  <c r="J38" i="66"/>
  <c r="I41" i="66"/>
  <c r="J42" i="66"/>
  <c r="I45" i="66"/>
  <c r="M45" i="66" s="1"/>
  <c r="H55" i="66"/>
  <c r="L55" i="66"/>
  <c r="I36" i="66"/>
  <c r="J37" i="66"/>
  <c r="H39" i="66"/>
  <c r="M39" i="66" s="1"/>
  <c r="I40" i="66"/>
  <c r="J41" i="66"/>
  <c r="H43" i="66"/>
  <c r="M43" i="66" s="1"/>
  <c r="O61" i="66"/>
  <c r="N64" i="66"/>
  <c r="N68" i="66"/>
  <c r="AC101" i="66" l="1"/>
  <c r="C112" i="66"/>
  <c r="O112" i="66"/>
  <c r="M42" i="66"/>
  <c r="AF93" i="66"/>
  <c r="F68" i="67" s="1"/>
  <c r="G17" i="52"/>
  <c r="S17" i="52"/>
  <c r="V112" i="66"/>
  <c r="X112" i="66"/>
  <c r="U112" i="66"/>
  <c r="Q112" i="66"/>
  <c r="S112" i="66"/>
  <c r="T112" i="66"/>
  <c r="P112" i="66"/>
  <c r="Y112" i="66"/>
  <c r="R112" i="66"/>
  <c r="W112" i="66"/>
  <c r="V17" i="52"/>
  <c r="O10" i="65"/>
  <c r="X10" i="65"/>
  <c r="O19" i="52"/>
  <c r="X17" i="52"/>
  <c r="U19" i="52"/>
  <c r="W10" i="65"/>
  <c r="S10" i="65"/>
  <c r="P10" i="65"/>
  <c r="U10" i="65"/>
  <c r="T10" i="65"/>
  <c r="Q10" i="65"/>
  <c r="V10" i="65"/>
  <c r="R10" i="65"/>
  <c r="R17" i="52"/>
  <c r="Q19" i="52"/>
  <c r="P17" i="52"/>
  <c r="W18" i="52"/>
  <c r="T17" i="52"/>
  <c r="Y10" i="65"/>
  <c r="Y19" i="52"/>
  <c r="V117" i="53"/>
  <c r="Y117" i="53"/>
  <c r="Q117" i="53"/>
  <c r="R117" i="53"/>
  <c r="X117" i="53"/>
  <c r="P117" i="53"/>
  <c r="W117" i="53"/>
  <c r="T117" i="53"/>
  <c r="U117" i="53"/>
  <c r="O117" i="53"/>
  <c r="S117" i="53"/>
  <c r="AF97" i="66"/>
  <c r="F72" i="67" s="1"/>
  <c r="AF90" i="66"/>
  <c r="F65" i="67" s="1"/>
  <c r="O67" i="66"/>
  <c r="P63" i="66"/>
  <c r="P65" i="66"/>
  <c r="P67" i="66"/>
  <c r="AA9" i="65"/>
  <c r="F24" i="67" s="1"/>
  <c r="AY122" i="66"/>
  <c r="AA20" i="66"/>
  <c r="F43" i="67"/>
  <c r="AZ110" i="66"/>
  <c r="F77" i="67" s="1"/>
  <c r="M71" i="66"/>
  <c r="M67" i="66"/>
  <c r="M63" i="66"/>
  <c r="M72" i="66"/>
  <c r="M64" i="66"/>
  <c r="M70" i="66"/>
  <c r="M62" i="66"/>
  <c r="M68" i="66"/>
  <c r="M69" i="66"/>
  <c r="M65" i="66"/>
  <c r="M61" i="66"/>
  <c r="M66" i="66"/>
  <c r="M38" i="66"/>
  <c r="O69" i="66"/>
  <c r="N9" i="65"/>
  <c r="Z10" i="65" s="1"/>
  <c r="O72" i="66"/>
  <c r="O70" i="66"/>
  <c r="M40" i="66"/>
  <c r="P64" i="66"/>
  <c r="P71" i="66"/>
  <c r="P62" i="66"/>
  <c r="D11" i="67"/>
  <c r="D25" i="67"/>
  <c r="D40" i="67" s="1"/>
  <c r="D53" i="67" s="1"/>
  <c r="D66" i="67" s="1"/>
  <c r="D79" i="67" s="1"/>
  <c r="O65" i="66"/>
  <c r="O62" i="66"/>
  <c r="M36" i="66"/>
  <c r="O68" i="66"/>
  <c r="O66" i="66"/>
  <c r="O71" i="66"/>
  <c r="O63" i="66"/>
  <c r="M37" i="66"/>
  <c r="F64" i="67"/>
  <c r="AF101" i="66"/>
  <c r="P68" i="66"/>
  <c r="P61" i="66"/>
  <c r="P66" i="66"/>
  <c r="Q71" i="66"/>
  <c r="Q67" i="66"/>
  <c r="Q63" i="66"/>
  <c r="Q64" i="66"/>
  <c r="Q70" i="66"/>
  <c r="Q62" i="66"/>
  <c r="Q72" i="66"/>
  <c r="Q68" i="66"/>
  <c r="Q69" i="66"/>
  <c r="Q65" i="66"/>
  <c r="Q61" i="66"/>
  <c r="Q66" i="66"/>
  <c r="M41" i="66"/>
  <c r="M46" i="66"/>
  <c r="P72" i="66"/>
  <c r="P69" i="66"/>
  <c r="C113" i="66" l="1"/>
  <c r="O113" i="66"/>
  <c r="G18" i="52"/>
  <c r="S18" i="52"/>
  <c r="W113" i="66"/>
  <c r="T113" i="66"/>
  <c r="Y113" i="66"/>
  <c r="Q113" i="66"/>
  <c r="X113" i="66"/>
  <c r="S113" i="66"/>
  <c r="R113" i="66"/>
  <c r="P113" i="66"/>
  <c r="U113" i="66"/>
  <c r="V113" i="66"/>
  <c r="Y11" i="65"/>
  <c r="W19" i="52"/>
  <c r="R11" i="65"/>
  <c r="Q11" i="65"/>
  <c r="U11" i="65"/>
  <c r="S11" i="65"/>
  <c r="O11" i="65"/>
  <c r="T11" i="65"/>
  <c r="W11" i="65"/>
  <c r="T18" i="52"/>
  <c r="P18" i="52"/>
  <c r="R18" i="52"/>
  <c r="V11" i="65"/>
  <c r="P11" i="65"/>
  <c r="X18" i="52"/>
  <c r="X11" i="65"/>
  <c r="V18" i="52"/>
  <c r="S118" i="53"/>
  <c r="X118" i="53"/>
  <c r="U118" i="53"/>
  <c r="W118" i="53"/>
  <c r="V118" i="53"/>
  <c r="O118" i="53"/>
  <c r="T118" i="53"/>
  <c r="P118" i="53"/>
  <c r="R118" i="53"/>
  <c r="Y118" i="53"/>
  <c r="Q118" i="53"/>
  <c r="R63" i="66"/>
  <c r="F53" i="67" s="1"/>
  <c r="R61" i="66"/>
  <c r="F51" i="67" s="1"/>
  <c r="D12" i="67"/>
  <c r="D26" i="67"/>
  <c r="D41" i="67" s="1"/>
  <c r="D54" i="67" s="1"/>
  <c r="D67" i="67" s="1"/>
  <c r="D80" i="67" s="1"/>
  <c r="R62" i="66"/>
  <c r="M48" i="66"/>
  <c r="AA10" i="65"/>
  <c r="R69" i="66"/>
  <c r="R64" i="66"/>
  <c r="R71" i="66"/>
  <c r="F61" i="67" s="1"/>
  <c r="R66" i="66"/>
  <c r="F56" i="67" s="1"/>
  <c r="R68" i="66"/>
  <c r="R72" i="66"/>
  <c r="N10" i="65"/>
  <c r="Z11" i="65" s="1"/>
  <c r="R65" i="66"/>
  <c r="F55" i="67" s="1"/>
  <c r="R70" i="66"/>
  <c r="R67" i="66"/>
  <c r="C114" i="66" l="1"/>
  <c r="O114" i="66"/>
  <c r="G19" i="52"/>
  <c r="S19" i="52"/>
  <c r="S114" i="66"/>
  <c r="Q114" i="66"/>
  <c r="V114" i="66"/>
  <c r="P114" i="66"/>
  <c r="T114" i="66"/>
  <c r="U114" i="66"/>
  <c r="Y114" i="66"/>
  <c r="R114" i="66"/>
  <c r="X114" i="66"/>
  <c r="W114" i="66"/>
  <c r="T12" i="65"/>
  <c r="X12" i="65"/>
  <c r="P12" i="65"/>
  <c r="R19" i="52"/>
  <c r="T19" i="52"/>
  <c r="S12" i="65"/>
  <c r="Q12" i="65"/>
  <c r="U12" i="65"/>
  <c r="V19" i="52"/>
  <c r="X19" i="52"/>
  <c r="V12" i="65"/>
  <c r="P19" i="52"/>
  <c r="W12" i="65"/>
  <c r="O12" i="65"/>
  <c r="R12" i="65"/>
  <c r="Y12" i="65"/>
  <c r="Y119" i="53"/>
  <c r="P119" i="53"/>
  <c r="O119" i="53"/>
  <c r="W119" i="53"/>
  <c r="X119" i="53"/>
  <c r="Q119" i="53"/>
  <c r="R119" i="53"/>
  <c r="T119" i="53"/>
  <c r="V119" i="53"/>
  <c r="U119" i="53"/>
  <c r="S119" i="53"/>
  <c r="C129" i="66"/>
  <c r="F52" i="67"/>
  <c r="AA11" i="65"/>
  <c r="F26" i="67" s="1"/>
  <c r="F58" i="67"/>
  <c r="F57" i="67"/>
  <c r="F59" i="67"/>
  <c r="D13" i="67"/>
  <c r="D27" i="67"/>
  <c r="D42" i="67" s="1"/>
  <c r="D55" i="67" s="1"/>
  <c r="D68" i="67" s="1"/>
  <c r="D81" i="67" s="1"/>
  <c r="F54" i="67"/>
  <c r="F60" i="67"/>
  <c r="R73" i="66"/>
  <c r="F8" i="67"/>
  <c r="N11" i="65"/>
  <c r="Z12" i="65" s="1"/>
  <c r="F62" i="67"/>
  <c r="F25" i="67"/>
  <c r="C115" i="66" l="1"/>
  <c r="O115" i="66"/>
  <c r="U115" i="66"/>
  <c r="Q115" i="66"/>
  <c r="W115" i="66"/>
  <c r="R115" i="66"/>
  <c r="P115" i="66"/>
  <c r="X115" i="66"/>
  <c r="Y115" i="66"/>
  <c r="T115" i="66"/>
  <c r="V115" i="66"/>
  <c r="S115" i="66"/>
  <c r="U13" i="65"/>
  <c r="Y13" i="65"/>
  <c r="O13" i="65"/>
  <c r="S13" i="65"/>
  <c r="X13" i="65"/>
  <c r="Q13" i="65"/>
  <c r="R13" i="65"/>
  <c r="W13" i="65"/>
  <c r="V13" i="65"/>
  <c r="P13" i="65"/>
  <c r="T13" i="65"/>
  <c r="U120" i="53"/>
  <c r="T120" i="53"/>
  <c r="Q120" i="53"/>
  <c r="W120" i="53"/>
  <c r="P120" i="53"/>
  <c r="S120" i="53"/>
  <c r="V120" i="53"/>
  <c r="R120" i="53"/>
  <c r="X120" i="53"/>
  <c r="O120" i="53"/>
  <c r="Y120" i="53"/>
  <c r="N12" i="65"/>
  <c r="Z13" i="65" s="1"/>
  <c r="D28" i="67"/>
  <c r="D43" i="67" s="1"/>
  <c r="D56" i="67" s="1"/>
  <c r="D69" i="67" s="1"/>
  <c r="D82" i="67" s="1"/>
  <c r="D14" i="67"/>
  <c r="AA12" i="65"/>
  <c r="E76" i="64"/>
  <c r="C116" i="66" l="1"/>
  <c r="O116" i="66"/>
  <c r="S116" i="66"/>
  <c r="T116" i="66"/>
  <c r="X116" i="66"/>
  <c r="R116" i="66"/>
  <c r="Q116" i="66"/>
  <c r="V116" i="66"/>
  <c r="Y116" i="66"/>
  <c r="P116" i="66"/>
  <c r="W116" i="66"/>
  <c r="U116" i="66"/>
  <c r="P14" i="65"/>
  <c r="W14" i="65"/>
  <c r="Q14" i="65"/>
  <c r="S14" i="65"/>
  <c r="Y14" i="65"/>
  <c r="T14" i="65"/>
  <c r="V14" i="65"/>
  <c r="R14" i="65"/>
  <c r="X14" i="65"/>
  <c r="O14" i="65"/>
  <c r="U14" i="65"/>
  <c r="O121" i="53"/>
  <c r="R121" i="53"/>
  <c r="S121" i="53"/>
  <c r="W121" i="53"/>
  <c r="T121" i="53"/>
  <c r="Y121" i="53"/>
  <c r="X121" i="53"/>
  <c r="V121" i="53"/>
  <c r="P121" i="53"/>
  <c r="Q121" i="53"/>
  <c r="U121" i="53"/>
  <c r="F27" i="67"/>
  <c r="N13" i="65"/>
  <c r="Z14" i="65" s="1"/>
  <c r="D15" i="67"/>
  <c r="D29" i="67"/>
  <c r="D44" i="67" s="1"/>
  <c r="D57" i="67" s="1"/>
  <c r="D70" i="67" s="1"/>
  <c r="D83" i="67" s="1"/>
  <c r="AA13" i="65"/>
  <c r="F28" i="67" s="1"/>
  <c r="C117" i="66" l="1"/>
  <c r="O117" i="66"/>
  <c r="U117" i="66"/>
  <c r="P117" i="66"/>
  <c r="V117" i="66"/>
  <c r="R117" i="66"/>
  <c r="T117" i="66"/>
  <c r="W117" i="66"/>
  <c r="Y117" i="66"/>
  <c r="Q117" i="66"/>
  <c r="X117" i="66"/>
  <c r="S117" i="66"/>
  <c r="O15" i="65"/>
  <c r="R15" i="65"/>
  <c r="T15" i="65"/>
  <c r="S15" i="65"/>
  <c r="W15" i="65"/>
  <c r="U15" i="65"/>
  <c r="X15" i="65"/>
  <c r="V15" i="65"/>
  <c r="Y15" i="65"/>
  <c r="Q15" i="65"/>
  <c r="P15" i="65"/>
  <c r="D30" i="67"/>
  <c r="D45" i="67" s="1"/>
  <c r="D58" i="67" s="1"/>
  <c r="D71" i="67" s="1"/>
  <c r="D84" i="67" s="1"/>
  <c r="D16" i="67"/>
  <c r="N14" i="65"/>
  <c r="Z15" i="65" s="1"/>
  <c r="AA14" i="65"/>
  <c r="C118" i="66" l="1"/>
  <c r="O118" i="66"/>
  <c r="S118" i="66"/>
  <c r="Q118" i="66"/>
  <c r="W118" i="66"/>
  <c r="R118" i="66"/>
  <c r="P118" i="66"/>
  <c r="X118" i="66"/>
  <c r="Y118" i="66"/>
  <c r="T118" i="66"/>
  <c r="V118" i="66"/>
  <c r="U118" i="66"/>
  <c r="Q16" i="65"/>
  <c r="V16" i="65"/>
  <c r="U16" i="65"/>
  <c r="S16" i="65"/>
  <c r="R16" i="65"/>
  <c r="P16" i="65"/>
  <c r="Y16" i="65"/>
  <c r="X16" i="65"/>
  <c r="W16" i="65"/>
  <c r="T16" i="65"/>
  <c r="O16" i="65"/>
  <c r="D17" i="67"/>
  <c r="D31" i="67"/>
  <c r="D46" i="67" s="1"/>
  <c r="D59" i="67" s="1"/>
  <c r="D72" i="67" s="1"/>
  <c r="D85" i="67" s="1"/>
  <c r="F29" i="67"/>
  <c r="N15" i="65"/>
  <c r="Z16" i="65" s="1"/>
  <c r="AA15" i="65"/>
  <c r="F30" i="67" s="1"/>
  <c r="C119" i="66" l="1"/>
  <c r="O119" i="66"/>
  <c r="U119" i="66"/>
  <c r="T119" i="66"/>
  <c r="X119" i="66"/>
  <c r="R119" i="66"/>
  <c r="Q119" i="66"/>
  <c r="V119" i="66"/>
  <c r="Y119" i="66"/>
  <c r="P119" i="66"/>
  <c r="W119" i="66"/>
  <c r="S119" i="66"/>
  <c r="T17" i="65"/>
  <c r="X17" i="65"/>
  <c r="P17" i="65"/>
  <c r="S17" i="65"/>
  <c r="V17" i="65"/>
  <c r="O17" i="65"/>
  <c r="W17" i="65"/>
  <c r="Y17" i="65"/>
  <c r="R17" i="65"/>
  <c r="U17" i="65"/>
  <c r="Q17" i="65"/>
  <c r="D18" i="67"/>
  <c r="D32" i="67"/>
  <c r="D47" i="67" s="1"/>
  <c r="D60" i="67" s="1"/>
  <c r="D73" i="67" s="1"/>
  <c r="D86" i="67" s="1"/>
  <c r="AA16" i="65"/>
  <c r="F31" i="67" s="1"/>
  <c r="N16" i="65"/>
  <c r="Z17" i="65" s="1"/>
  <c r="C120" i="66" l="1"/>
  <c r="O120" i="66"/>
  <c r="S120" i="66"/>
  <c r="V120" i="66"/>
  <c r="P120" i="66"/>
  <c r="R120" i="66"/>
  <c r="T120" i="66"/>
  <c r="Q120" i="66"/>
  <c r="U120" i="66"/>
  <c r="W120" i="66"/>
  <c r="Y120" i="66"/>
  <c r="X120" i="66"/>
  <c r="U18" i="65"/>
  <c r="Y18" i="65"/>
  <c r="O18" i="65"/>
  <c r="S18" i="65"/>
  <c r="X18" i="65"/>
  <c r="Q18" i="65"/>
  <c r="R18" i="65"/>
  <c r="W18" i="65"/>
  <c r="V18" i="65"/>
  <c r="P18" i="65"/>
  <c r="T18" i="65"/>
  <c r="AA17" i="65"/>
  <c r="F32" i="67" s="1"/>
  <c r="D19" i="67"/>
  <c r="D34" i="67" s="1"/>
  <c r="D49" i="67" s="1"/>
  <c r="D62" i="67" s="1"/>
  <c r="D75" i="67" s="1"/>
  <c r="D88" i="67" s="1"/>
  <c r="D33" i="67"/>
  <c r="D48" i="67" s="1"/>
  <c r="D61" i="67" s="1"/>
  <c r="D74" i="67" s="1"/>
  <c r="D87" i="67" s="1"/>
  <c r="N17" i="65"/>
  <c r="Z18" i="65" s="1"/>
  <c r="C121" i="66" l="1"/>
  <c r="O121" i="66"/>
  <c r="X121" i="66"/>
  <c r="W121" i="66"/>
  <c r="Q121" i="66"/>
  <c r="R121" i="66"/>
  <c r="V121" i="66"/>
  <c r="U121" i="66"/>
  <c r="T121" i="66"/>
  <c r="P121" i="66"/>
  <c r="S121" i="66"/>
  <c r="Y121" i="66"/>
  <c r="P19" i="65"/>
  <c r="W19" i="65"/>
  <c r="Q19" i="65"/>
  <c r="S19" i="65"/>
  <c r="Y19" i="65"/>
  <c r="T19" i="65"/>
  <c r="V19" i="65"/>
  <c r="R19" i="65"/>
  <c r="X19" i="65"/>
  <c r="O19" i="65"/>
  <c r="U19" i="65"/>
  <c r="N18" i="65"/>
  <c r="Z19" i="65" s="1"/>
  <c r="AA18" i="65"/>
  <c r="F33" i="67" s="1"/>
  <c r="AA19" i="65" l="1"/>
  <c r="N19" i="65"/>
  <c r="F34" i="67" l="1"/>
  <c r="AA20" i="65"/>
  <c r="F21" i="67" l="1"/>
  <c r="H1" i="41" l="1"/>
  <c r="AZ2" i="53"/>
  <c r="AZ1" i="53"/>
  <c r="AC2" i="52"/>
  <c r="AC1" i="52"/>
  <c r="D23" i="41" l="1"/>
  <c r="C77" i="32"/>
  <c r="C78" i="32" s="1"/>
  <c r="C79" i="32" s="1"/>
  <c r="C80" i="32" s="1"/>
  <c r="C81" i="32" s="1"/>
  <c r="C82" i="32" s="1"/>
  <c r="C83" i="32" s="1"/>
  <c r="C84" i="32" s="1"/>
  <c r="C85" i="32" s="1"/>
  <c r="C86" i="32" s="1"/>
  <c r="C87" i="32" s="1"/>
  <c r="B130" i="53"/>
  <c r="B131" i="53" s="1"/>
  <c r="B132" i="53" s="1"/>
  <c r="B133" i="53" s="1"/>
  <c r="B134" i="53" s="1"/>
  <c r="B135" i="53" s="1"/>
  <c r="B136" i="53" s="1"/>
  <c r="B137" i="53" s="1"/>
  <c r="B138" i="53" s="1"/>
  <c r="B139" i="53" s="1"/>
  <c r="B140" i="53" s="1"/>
  <c r="B111" i="53"/>
  <c r="B112" i="53" s="1"/>
  <c r="B113" i="53" s="1"/>
  <c r="B114" i="53" s="1"/>
  <c r="B115" i="53" s="1"/>
  <c r="B116" i="53" s="1"/>
  <c r="B117" i="53" s="1"/>
  <c r="B118" i="53" s="1"/>
  <c r="B119" i="53" s="1"/>
  <c r="B120" i="53" s="1"/>
  <c r="B121" i="53" s="1"/>
  <c r="B90" i="53"/>
  <c r="B91" i="53" s="1"/>
  <c r="B92" i="53" s="1"/>
  <c r="B93" i="53" s="1"/>
  <c r="B94" i="53" s="1"/>
  <c r="B95" i="53" s="1"/>
  <c r="B96" i="53" s="1"/>
  <c r="B97" i="53" s="1"/>
  <c r="B98" i="53" s="1"/>
  <c r="B99" i="53" s="1"/>
  <c r="B100" i="53" s="1"/>
  <c r="B62" i="53"/>
  <c r="B63" i="53" s="1"/>
  <c r="B64" i="53" s="1"/>
  <c r="B65" i="53" s="1"/>
  <c r="B66" i="53" s="1"/>
  <c r="B67" i="53" s="1"/>
  <c r="B68" i="53" s="1"/>
  <c r="B69" i="53" s="1"/>
  <c r="B70" i="53" s="1"/>
  <c r="B71" i="53" s="1"/>
  <c r="B72" i="53" s="1"/>
  <c r="B37" i="53"/>
  <c r="B38" i="53" s="1"/>
  <c r="B39" i="53" s="1"/>
  <c r="B40" i="53" s="1"/>
  <c r="B41" i="53" s="1"/>
  <c r="B42" i="53" s="1"/>
  <c r="B43" i="53" s="1"/>
  <c r="B44" i="53" s="1"/>
  <c r="B45" i="53" s="1"/>
  <c r="B46" i="53" s="1"/>
  <c r="B47" i="53" s="1"/>
  <c r="B9" i="53"/>
  <c r="B10" i="53" s="1"/>
  <c r="B11" i="53" s="1"/>
  <c r="B12" i="53" s="1"/>
  <c r="B13" i="53" s="1"/>
  <c r="B14" i="53" s="1"/>
  <c r="B15" i="53" s="1"/>
  <c r="B16" i="53" s="1"/>
  <c r="B17" i="53" s="1"/>
  <c r="B18" i="53" s="1"/>
  <c r="B19" i="53" s="1"/>
  <c r="B9" i="52"/>
  <c r="B10" i="52" s="1"/>
  <c r="B11" i="52" s="1"/>
  <c r="B12" i="52" s="1"/>
  <c r="B13" i="52" s="1"/>
  <c r="B14" i="52" s="1"/>
  <c r="B15" i="52" s="1"/>
  <c r="B16" i="52" s="1"/>
  <c r="B17" i="52" s="1"/>
  <c r="B18" i="52" s="1"/>
  <c r="B19" i="52" s="1"/>
  <c r="D9" i="41" l="1"/>
  <c r="D24" i="41" s="1"/>
  <c r="D10" i="41" l="1"/>
  <c r="D11" i="41" s="1"/>
  <c r="D12" i="41" s="1"/>
  <c r="D13" i="41" s="1"/>
  <c r="D14" i="41" s="1"/>
  <c r="D15" i="41" s="1"/>
  <c r="D16" i="41" s="1"/>
  <c r="D17" i="41" s="1"/>
  <c r="D18" i="41" s="1"/>
  <c r="D19" i="41" s="1"/>
  <c r="S90" i="53" l="1"/>
  <c r="S89" i="53"/>
  <c r="J28" i="53" l="1"/>
  <c r="I28" i="53"/>
  <c r="H28" i="53"/>
  <c r="E28" i="53"/>
  <c r="D28" i="53"/>
  <c r="C28" i="53"/>
  <c r="H36" i="53" l="1"/>
  <c r="AE100" i="53"/>
  <c r="AE99" i="53"/>
  <c r="AE98" i="53"/>
  <c r="AE97" i="53"/>
  <c r="AE96" i="53"/>
  <c r="AE95" i="53"/>
  <c r="AE94" i="53"/>
  <c r="AE93" i="53"/>
  <c r="AE92" i="53"/>
  <c r="AE91" i="53"/>
  <c r="AE90" i="53"/>
  <c r="AE89" i="53"/>
  <c r="AD89" i="53"/>
  <c r="AD100" i="53"/>
  <c r="AD99" i="53"/>
  <c r="AD98" i="53"/>
  <c r="AD97" i="53"/>
  <c r="AD96" i="53"/>
  <c r="AD95" i="53"/>
  <c r="AD94" i="53"/>
  <c r="AD93" i="53"/>
  <c r="AD92" i="53"/>
  <c r="AD91" i="53"/>
  <c r="AD90" i="53"/>
  <c r="R88" i="53" l="1"/>
  <c r="O88" i="53"/>
  <c r="L88" i="53"/>
  <c r="I88" i="53"/>
  <c r="L80" i="53"/>
  <c r="O80" i="53" s="1"/>
  <c r="R80" i="53" s="1"/>
  <c r="U80" i="53" s="1"/>
  <c r="Q88" i="53" l="1"/>
  <c r="P88" i="53"/>
  <c r="N88" i="53"/>
  <c r="M88" i="53"/>
  <c r="K88" i="53"/>
  <c r="J88" i="53"/>
  <c r="H88" i="53"/>
  <c r="G88" i="53"/>
  <c r="T80" i="53"/>
  <c r="S80" i="53"/>
  <c r="Q80" i="53"/>
  <c r="P80" i="53"/>
  <c r="N80" i="53"/>
  <c r="M80" i="53"/>
  <c r="K80" i="53"/>
  <c r="J80" i="53"/>
  <c r="W94" i="53" l="1"/>
  <c r="X100" i="53"/>
  <c r="X98" i="53" l="1"/>
  <c r="X91" i="53"/>
  <c r="X89" i="53"/>
  <c r="W100" i="53"/>
  <c r="AC100" i="53" s="1"/>
  <c r="W89" i="53"/>
  <c r="X93" i="53"/>
  <c r="W98" i="53"/>
  <c r="W91" i="53"/>
  <c r="AC91" i="53" s="1"/>
  <c r="X95" i="53"/>
  <c r="X92" i="53"/>
  <c r="W93" i="53"/>
  <c r="AC93" i="53" s="1"/>
  <c r="X97" i="53"/>
  <c r="X90" i="53"/>
  <c r="W95" i="53"/>
  <c r="W92" i="53"/>
  <c r="X96" i="53"/>
  <c r="X99" i="53"/>
  <c r="W97" i="53"/>
  <c r="AC97" i="53" s="1"/>
  <c r="W90" i="53"/>
  <c r="AC90" i="53" s="1"/>
  <c r="X94" i="53"/>
  <c r="AC94" i="53" s="1"/>
  <c r="W99" i="53"/>
  <c r="W96" i="53"/>
  <c r="AC96" i="53" s="1"/>
  <c r="AC92" i="53" l="1"/>
  <c r="AC98" i="53"/>
  <c r="AC95" i="53"/>
  <c r="AC89" i="53"/>
  <c r="AC99" i="53"/>
  <c r="AV121" i="53" l="1"/>
  <c r="AU121" i="53"/>
  <c r="AT121" i="53"/>
  <c r="AS121" i="53"/>
  <c r="AR121" i="53"/>
  <c r="AQ121" i="53"/>
  <c r="AP121" i="53"/>
  <c r="AO121" i="53"/>
  <c r="AN121" i="53"/>
  <c r="AL121" i="53"/>
  <c r="AV120" i="53"/>
  <c r="AU120" i="53"/>
  <c r="AT120" i="53"/>
  <c r="AS120" i="53"/>
  <c r="AR120" i="53"/>
  <c r="AQ120" i="53"/>
  <c r="AP120" i="53"/>
  <c r="AO120" i="53"/>
  <c r="AN120" i="53"/>
  <c r="AL120" i="53"/>
  <c r="AV119" i="53"/>
  <c r="AU119" i="53"/>
  <c r="AT119" i="53"/>
  <c r="AS119" i="53"/>
  <c r="AR119" i="53"/>
  <c r="AQ119" i="53"/>
  <c r="AP119" i="53"/>
  <c r="AO119" i="53"/>
  <c r="AN119" i="53"/>
  <c r="AL119" i="53"/>
  <c r="AV118" i="53"/>
  <c r="AU118" i="53"/>
  <c r="AT118" i="53"/>
  <c r="AS118" i="53"/>
  <c r="AR118" i="53"/>
  <c r="AQ118" i="53"/>
  <c r="AP118" i="53"/>
  <c r="AO118" i="53"/>
  <c r="AN118" i="53"/>
  <c r="AL118" i="53"/>
  <c r="AV117" i="53"/>
  <c r="AU117" i="53"/>
  <c r="AT117" i="53"/>
  <c r="AS117" i="53"/>
  <c r="AR117" i="53"/>
  <c r="AQ117" i="53"/>
  <c r="AP117" i="53"/>
  <c r="AO117" i="53"/>
  <c r="AN117" i="53"/>
  <c r="AL117" i="53"/>
  <c r="AV116" i="53"/>
  <c r="AU116" i="53"/>
  <c r="AT116" i="53"/>
  <c r="AS116" i="53"/>
  <c r="AR116" i="53"/>
  <c r="AQ116" i="53"/>
  <c r="AP116" i="53"/>
  <c r="AO116" i="53"/>
  <c r="AN116" i="53"/>
  <c r="AL116" i="53"/>
  <c r="AV115" i="53"/>
  <c r="AU115" i="53"/>
  <c r="AT115" i="53"/>
  <c r="AS115" i="53"/>
  <c r="AR115" i="53"/>
  <c r="AQ115" i="53"/>
  <c r="AP115" i="53"/>
  <c r="AO115" i="53"/>
  <c r="AN115" i="53"/>
  <c r="AL115" i="53"/>
  <c r="AV114" i="53"/>
  <c r="AU114" i="53"/>
  <c r="AT114" i="53"/>
  <c r="AS114" i="53"/>
  <c r="AR114" i="53"/>
  <c r="AQ114" i="53"/>
  <c r="AP114" i="53"/>
  <c r="AO114" i="53"/>
  <c r="AN114" i="53"/>
  <c r="AL114" i="53"/>
  <c r="AV113" i="53"/>
  <c r="AU113" i="53"/>
  <c r="AT113" i="53"/>
  <c r="AS113" i="53"/>
  <c r="AR113" i="53"/>
  <c r="AQ113" i="53"/>
  <c r="AP113" i="53"/>
  <c r="AO113" i="53"/>
  <c r="AN113" i="53"/>
  <c r="AL113" i="53"/>
  <c r="AV112" i="53"/>
  <c r="AU112" i="53"/>
  <c r="AT112" i="53"/>
  <c r="AS112" i="53"/>
  <c r="AR112" i="53"/>
  <c r="AQ112" i="53"/>
  <c r="AP112" i="53"/>
  <c r="AO112" i="53"/>
  <c r="AN112" i="53"/>
  <c r="AL112" i="53"/>
  <c r="AV111" i="53"/>
  <c r="AU111" i="53"/>
  <c r="AT111" i="53"/>
  <c r="AS111" i="53"/>
  <c r="AR111" i="53"/>
  <c r="AQ111" i="53"/>
  <c r="AP111" i="53"/>
  <c r="AO111" i="53"/>
  <c r="AN111" i="53"/>
  <c r="AM111" i="53"/>
  <c r="AL111" i="53"/>
  <c r="AV110" i="53"/>
  <c r="AU110" i="53"/>
  <c r="AT110" i="53"/>
  <c r="AR110" i="53"/>
  <c r="AQ110" i="53"/>
  <c r="AP110" i="53"/>
  <c r="AO110" i="53"/>
  <c r="AN110" i="53"/>
  <c r="AM110" i="53"/>
  <c r="AL110" i="53"/>
  <c r="C35" i="53"/>
  <c r="Z19" i="53"/>
  <c r="Y19" i="53"/>
  <c r="X19" i="53"/>
  <c r="W19" i="53"/>
  <c r="V19" i="53"/>
  <c r="U19" i="53"/>
  <c r="T19" i="53"/>
  <c r="S19" i="53"/>
  <c r="R19" i="53"/>
  <c r="Q19" i="53"/>
  <c r="O19" i="53"/>
  <c r="Z18" i="53"/>
  <c r="Y18" i="53"/>
  <c r="X18" i="53"/>
  <c r="W18" i="53"/>
  <c r="V18" i="53"/>
  <c r="U18" i="53"/>
  <c r="T18" i="53"/>
  <c r="S18" i="53"/>
  <c r="R18" i="53"/>
  <c r="Q18" i="53"/>
  <c r="O18" i="53"/>
  <c r="Z17" i="53"/>
  <c r="Y17" i="53"/>
  <c r="X17" i="53"/>
  <c r="W17" i="53"/>
  <c r="V17" i="53"/>
  <c r="U17" i="53"/>
  <c r="T17" i="53"/>
  <c r="S17" i="53"/>
  <c r="R17" i="53"/>
  <c r="Q17" i="53"/>
  <c r="O17" i="53"/>
  <c r="Z16" i="53"/>
  <c r="Y16" i="53"/>
  <c r="X16" i="53"/>
  <c r="W16" i="53"/>
  <c r="V16" i="53"/>
  <c r="U16" i="53"/>
  <c r="T16" i="53"/>
  <c r="S16" i="53"/>
  <c r="R16" i="53"/>
  <c r="Q16" i="53"/>
  <c r="O16" i="53"/>
  <c r="Z15" i="53"/>
  <c r="Y15" i="53"/>
  <c r="X15" i="53"/>
  <c r="W15" i="53"/>
  <c r="V15" i="53"/>
  <c r="U15" i="53"/>
  <c r="T15" i="53"/>
  <c r="S15" i="53"/>
  <c r="R15" i="53"/>
  <c r="Q15" i="53"/>
  <c r="O15" i="53"/>
  <c r="Z14" i="53"/>
  <c r="Y14" i="53"/>
  <c r="X14" i="53"/>
  <c r="W14" i="53"/>
  <c r="V14" i="53"/>
  <c r="U14" i="53"/>
  <c r="T14" i="53"/>
  <c r="S14" i="53"/>
  <c r="R14" i="53"/>
  <c r="Q14" i="53"/>
  <c r="O14" i="53"/>
  <c r="Z13" i="53"/>
  <c r="Y13" i="53"/>
  <c r="X13" i="53"/>
  <c r="W13" i="53"/>
  <c r="V13" i="53"/>
  <c r="U13" i="53"/>
  <c r="T13" i="53"/>
  <c r="S13" i="53"/>
  <c r="R13" i="53"/>
  <c r="Q13" i="53"/>
  <c r="O13" i="53"/>
  <c r="Z12" i="53"/>
  <c r="Y12" i="53"/>
  <c r="X12" i="53"/>
  <c r="W12" i="53"/>
  <c r="V12" i="53"/>
  <c r="U12" i="53"/>
  <c r="T12" i="53"/>
  <c r="S12" i="53"/>
  <c r="R12" i="53"/>
  <c r="Q12" i="53"/>
  <c r="O12" i="53"/>
  <c r="Z11" i="53"/>
  <c r="Y11" i="53"/>
  <c r="X11" i="53"/>
  <c r="W11" i="53"/>
  <c r="V11" i="53"/>
  <c r="U11" i="53"/>
  <c r="T11" i="53"/>
  <c r="S11" i="53"/>
  <c r="R11" i="53"/>
  <c r="Q11" i="53"/>
  <c r="O11" i="53"/>
  <c r="Z10" i="53"/>
  <c r="Y10" i="53"/>
  <c r="X10" i="53"/>
  <c r="W10" i="53"/>
  <c r="V10" i="53"/>
  <c r="U10" i="53"/>
  <c r="T10" i="53"/>
  <c r="S10" i="53"/>
  <c r="R10" i="53"/>
  <c r="Q10" i="53"/>
  <c r="O10" i="53"/>
  <c r="Z9" i="53"/>
  <c r="Y9" i="53"/>
  <c r="X9" i="53"/>
  <c r="W9" i="53"/>
  <c r="V9" i="53"/>
  <c r="U9" i="53"/>
  <c r="T9" i="53"/>
  <c r="S9" i="53"/>
  <c r="R9" i="53"/>
  <c r="Q9" i="53"/>
  <c r="O9" i="53"/>
  <c r="Z8" i="53"/>
  <c r="Y8" i="53"/>
  <c r="X8" i="53"/>
  <c r="W8" i="53"/>
  <c r="V8" i="53"/>
  <c r="U8" i="53"/>
  <c r="T8" i="53"/>
  <c r="S8" i="53"/>
  <c r="R8" i="53"/>
  <c r="Q8" i="53"/>
  <c r="O8" i="53"/>
  <c r="N10" i="52" l="1"/>
  <c r="Z11" i="52" s="1"/>
  <c r="P8" i="53"/>
  <c r="AA8" i="53" s="1"/>
  <c r="AM112" i="53" l="1"/>
  <c r="N11" i="52"/>
  <c r="Z12" i="52" s="1"/>
  <c r="AM113" i="53" l="1"/>
  <c r="N12" i="52"/>
  <c r="Z13" i="52" s="1"/>
  <c r="AM114" i="53" l="1"/>
  <c r="P9" i="53"/>
  <c r="AA9" i="53" s="1"/>
  <c r="N13" i="52"/>
  <c r="Z14" i="52" s="1"/>
  <c r="V89" i="53"/>
  <c r="U89" i="53"/>
  <c r="T89" i="53"/>
  <c r="AM115" i="53" l="1"/>
  <c r="AB89" i="53"/>
  <c r="P10" i="53"/>
  <c r="AA10" i="53" s="1"/>
  <c r="N14" i="52"/>
  <c r="Z15" i="52" s="1"/>
  <c r="AM116" i="53" l="1"/>
  <c r="AF89" i="53"/>
  <c r="P11" i="53"/>
  <c r="AA11" i="53" s="1"/>
  <c r="N15" i="52"/>
  <c r="Z16" i="52" s="1"/>
  <c r="AM117" i="53" l="1"/>
  <c r="P12" i="53"/>
  <c r="AA12" i="53" s="1"/>
  <c r="N16" i="52"/>
  <c r="Z17" i="52" s="1"/>
  <c r="AM118" i="53" l="1"/>
  <c r="P13" i="53"/>
  <c r="AA13" i="53" s="1"/>
  <c r="N17" i="52"/>
  <c r="Z18" i="52" s="1"/>
  <c r="AM119" i="53" l="1"/>
  <c r="P14" i="53"/>
  <c r="AA14" i="53" s="1"/>
  <c r="N18" i="52"/>
  <c r="Z19" i="52" s="1"/>
  <c r="N19" i="52"/>
  <c r="AM120" i="53" l="1"/>
  <c r="AM121" i="53"/>
  <c r="P15" i="53"/>
  <c r="AA15" i="53" s="1"/>
  <c r="P16" i="53" l="1"/>
  <c r="AA16" i="53" s="1"/>
  <c r="P17" i="53" l="1"/>
  <c r="AA17" i="53" s="1"/>
  <c r="P19" i="53" l="1"/>
  <c r="AA19" i="53" s="1"/>
  <c r="P18" i="53"/>
  <c r="AA18" i="53" s="1"/>
  <c r="AA8" i="52" l="1"/>
  <c r="D34" i="41"/>
  <c r="D49" i="41" s="1"/>
  <c r="D62" i="41" s="1"/>
  <c r="D75" i="41" s="1"/>
  <c r="D88" i="41" s="1"/>
  <c r="D33" i="41"/>
  <c r="D48" i="41" s="1"/>
  <c r="D61" i="41" s="1"/>
  <c r="D74" i="41" s="1"/>
  <c r="D87" i="41" s="1"/>
  <c r="D32" i="41"/>
  <c r="D47" i="41" s="1"/>
  <c r="D60" i="41" s="1"/>
  <c r="D73" i="41" s="1"/>
  <c r="D86" i="41" s="1"/>
  <c r="D31" i="41"/>
  <c r="D46" i="41" s="1"/>
  <c r="D59" i="41" s="1"/>
  <c r="D72" i="41" s="1"/>
  <c r="D85" i="41" s="1"/>
  <c r="D30" i="41"/>
  <c r="D45" i="41" s="1"/>
  <c r="D58" i="41" s="1"/>
  <c r="D71" i="41" s="1"/>
  <c r="D84" i="41" s="1"/>
  <c r="D29" i="41"/>
  <c r="D44" i="41" s="1"/>
  <c r="D57" i="41" s="1"/>
  <c r="D70" i="41" s="1"/>
  <c r="D83" i="41" s="1"/>
  <c r="D28" i="41"/>
  <c r="D43" i="41" s="1"/>
  <c r="D56" i="41" s="1"/>
  <c r="D69" i="41" s="1"/>
  <c r="D82" i="41" s="1"/>
  <c r="D27" i="41"/>
  <c r="D42" i="41" s="1"/>
  <c r="D55" i="41" s="1"/>
  <c r="D68" i="41" s="1"/>
  <c r="D81" i="41" s="1"/>
  <c r="D26" i="41"/>
  <c r="D41" i="41" s="1"/>
  <c r="D54" i="41" s="1"/>
  <c r="D67" i="41" s="1"/>
  <c r="D80" i="41" s="1"/>
  <c r="D25" i="41"/>
  <c r="D40" i="41" s="1"/>
  <c r="D53" i="41" s="1"/>
  <c r="D66" i="41" s="1"/>
  <c r="D79" i="41" s="1"/>
  <c r="D39" i="41"/>
  <c r="D52" i="41" s="1"/>
  <c r="D65" i="41" s="1"/>
  <c r="D78" i="41" s="1"/>
  <c r="D38" i="41"/>
  <c r="D51" i="41" s="1"/>
  <c r="D64" i="41" s="1"/>
  <c r="D77" i="41" s="1"/>
  <c r="AW111" i="53"/>
  <c r="AY111" i="53" s="1"/>
  <c r="AW112" i="53"/>
  <c r="AY112" i="53" s="1"/>
  <c r="AW113" i="53"/>
  <c r="AY113" i="53" s="1"/>
  <c r="AW114" i="53"/>
  <c r="AY114" i="53" s="1"/>
  <c r="AW115" i="53"/>
  <c r="AY115" i="53" s="1"/>
  <c r="AW116" i="53"/>
  <c r="AY116" i="53" s="1"/>
  <c r="AW117" i="53"/>
  <c r="AY117" i="53" s="1"/>
  <c r="AW118" i="53"/>
  <c r="AY118" i="53" s="1"/>
  <c r="AW119" i="53"/>
  <c r="AY119" i="53" s="1"/>
  <c r="AW120" i="53"/>
  <c r="AY120" i="53" s="1"/>
  <c r="AW121" i="53"/>
  <c r="AY121" i="53" s="1"/>
  <c r="AS110" i="53"/>
  <c r="AW108" i="53" l="1"/>
  <c r="AV108" i="53"/>
  <c r="AU108" i="53"/>
  <c r="AT108" i="53"/>
  <c r="AS108" i="53"/>
  <c r="AR108" i="53"/>
  <c r="AQ108" i="53"/>
  <c r="AP108" i="53"/>
  <c r="AO108" i="53"/>
  <c r="AN108" i="53"/>
  <c r="AM108" i="53"/>
  <c r="AL108" i="53"/>
  <c r="AK108" i="53"/>
  <c r="AJ108" i="53"/>
  <c r="AI108" i="53"/>
  <c r="AH108" i="53"/>
  <c r="AG108" i="53"/>
  <c r="AF108" i="53"/>
  <c r="AE108" i="53"/>
  <c r="AD108" i="53"/>
  <c r="AC108" i="53"/>
  <c r="AB108" i="53"/>
  <c r="AA108" i="53"/>
  <c r="Z108" i="53"/>
  <c r="Y108" i="53"/>
  <c r="X108" i="53"/>
  <c r="W108" i="53"/>
  <c r="V108" i="53"/>
  <c r="U108" i="53"/>
  <c r="T108" i="53"/>
  <c r="S108" i="53"/>
  <c r="R108" i="53"/>
  <c r="Q108" i="53"/>
  <c r="P108" i="53"/>
  <c r="O108" i="53"/>
  <c r="V100" i="53"/>
  <c r="U100" i="53"/>
  <c r="U90" i="53"/>
  <c r="V90" i="53"/>
  <c r="U91" i="53"/>
  <c r="V91" i="53"/>
  <c r="U92" i="53"/>
  <c r="V92" i="53"/>
  <c r="U93" i="53"/>
  <c r="V93" i="53"/>
  <c r="U94" i="53"/>
  <c r="V94" i="53"/>
  <c r="U95" i="53"/>
  <c r="V95" i="53"/>
  <c r="U96" i="53"/>
  <c r="V96" i="53"/>
  <c r="U97" i="53"/>
  <c r="V97" i="53"/>
  <c r="U98" i="53"/>
  <c r="V98" i="53"/>
  <c r="U99" i="53"/>
  <c r="V99" i="53"/>
  <c r="S100" i="53"/>
  <c r="T90" i="53"/>
  <c r="S91" i="53"/>
  <c r="T91" i="53"/>
  <c r="S92" i="53"/>
  <c r="T92" i="53"/>
  <c r="S93" i="53"/>
  <c r="T93" i="53"/>
  <c r="S94" i="53"/>
  <c r="T94" i="53"/>
  <c r="S95" i="53"/>
  <c r="T95" i="53"/>
  <c r="S96" i="53"/>
  <c r="T96" i="53"/>
  <c r="S97" i="53"/>
  <c r="T97" i="53"/>
  <c r="S98" i="53"/>
  <c r="T98" i="53"/>
  <c r="S99" i="53"/>
  <c r="T99" i="53"/>
  <c r="T100" i="53"/>
  <c r="AB96" i="53" l="1"/>
  <c r="AB92" i="53"/>
  <c r="AB100" i="53"/>
  <c r="AB98" i="53"/>
  <c r="AB94" i="53"/>
  <c r="AB90" i="53"/>
  <c r="AB99" i="53"/>
  <c r="AB97" i="53"/>
  <c r="AB95" i="53"/>
  <c r="AB93" i="53"/>
  <c r="AB91" i="53"/>
  <c r="AF91" i="53" l="1"/>
  <c r="AF95" i="53"/>
  <c r="AF93" i="53"/>
  <c r="AF97" i="53"/>
  <c r="AF90" i="53"/>
  <c r="AF98" i="53"/>
  <c r="AF92" i="53"/>
  <c r="AF99" i="53"/>
  <c r="AF96" i="53"/>
  <c r="AF94" i="53"/>
  <c r="AF100" i="53"/>
  <c r="AC101" i="53"/>
  <c r="AB101" i="53"/>
  <c r="P7" i="53" l="1"/>
  <c r="Q7" i="53"/>
  <c r="R7" i="53"/>
  <c r="S7" i="53"/>
  <c r="T7" i="53"/>
  <c r="U7" i="53"/>
  <c r="V7" i="53"/>
  <c r="W7" i="53"/>
  <c r="X7" i="53"/>
  <c r="Y7" i="53"/>
  <c r="Z7" i="53"/>
  <c r="O7" i="53"/>
  <c r="F46" i="41" l="1"/>
  <c r="F41" i="41"/>
  <c r="F42" i="41"/>
  <c r="F39" i="41"/>
  <c r="F43" i="41"/>
  <c r="F47" i="41"/>
  <c r="F40" i="41"/>
  <c r="F44" i="41"/>
  <c r="F48" i="41"/>
  <c r="F49" i="41"/>
  <c r="F45" i="41"/>
  <c r="L53" i="53" l="1"/>
  <c r="K53" i="53"/>
  <c r="P53" i="53" s="1"/>
  <c r="J53" i="53"/>
  <c r="O53" i="53" s="1"/>
  <c r="I53" i="53"/>
  <c r="H53" i="53"/>
  <c r="L52" i="53"/>
  <c r="Q52" i="53" s="1"/>
  <c r="K52" i="53"/>
  <c r="P52" i="53" s="1"/>
  <c r="J52" i="53"/>
  <c r="O52" i="53" s="1"/>
  <c r="I52" i="53"/>
  <c r="N52" i="53" s="1"/>
  <c r="H52" i="53"/>
  <c r="M52" i="53" s="1"/>
  <c r="K37" i="53"/>
  <c r="L37" i="53"/>
  <c r="K38" i="53"/>
  <c r="L38" i="53"/>
  <c r="K39" i="53"/>
  <c r="L39" i="53"/>
  <c r="K40" i="53"/>
  <c r="L40" i="53"/>
  <c r="K41" i="53"/>
  <c r="L41" i="53"/>
  <c r="K42" i="53"/>
  <c r="L42" i="53"/>
  <c r="K43" i="53"/>
  <c r="L43" i="53"/>
  <c r="K44" i="53"/>
  <c r="L44" i="53"/>
  <c r="K45" i="53"/>
  <c r="L45" i="53"/>
  <c r="K46" i="53"/>
  <c r="L46" i="53"/>
  <c r="K47" i="53"/>
  <c r="L47" i="53"/>
  <c r="L36" i="53"/>
  <c r="K36" i="53"/>
  <c r="G35" i="53"/>
  <c r="L35" i="53" s="1"/>
  <c r="F35" i="53"/>
  <c r="K35" i="53" s="1"/>
  <c r="E35" i="53"/>
  <c r="J35" i="53" s="1"/>
  <c r="D35" i="53"/>
  <c r="I35" i="53" s="1"/>
  <c r="H35" i="53"/>
  <c r="L27" i="53"/>
  <c r="K27" i="53"/>
  <c r="J27" i="53"/>
  <c r="I27" i="53"/>
  <c r="H27" i="53"/>
  <c r="H57" i="53" l="1"/>
  <c r="I55" i="53"/>
  <c r="H55" i="53"/>
  <c r="L57" i="53"/>
  <c r="K57" i="53"/>
  <c r="Q53" i="53"/>
  <c r="M53" i="53"/>
  <c r="I57" i="53"/>
  <c r="K55" i="53"/>
  <c r="N53" i="53"/>
  <c r="J57" i="53"/>
  <c r="L55" i="53"/>
  <c r="J55" i="53"/>
  <c r="I39" i="53"/>
  <c r="J41" i="53"/>
  <c r="H40" i="53"/>
  <c r="J36" i="53"/>
  <c r="J44" i="53"/>
  <c r="I38" i="53"/>
  <c r="J38" i="53"/>
  <c r="J45" i="53"/>
  <c r="I42" i="53"/>
  <c r="H39" i="53"/>
  <c r="I46" i="53"/>
  <c r="I41" i="53"/>
  <c r="J40" i="53"/>
  <c r="J37" i="53"/>
  <c r="H43" i="53"/>
  <c r="H46" i="53"/>
  <c r="I37" i="53"/>
  <c r="J47" i="53"/>
  <c r="H45" i="53"/>
  <c r="I44" i="53"/>
  <c r="J43" i="53"/>
  <c r="H41" i="53"/>
  <c r="I40" i="53"/>
  <c r="J39" i="53"/>
  <c r="H37" i="53"/>
  <c r="H47" i="53"/>
  <c r="I45" i="53"/>
  <c r="H42" i="53"/>
  <c r="H38" i="53"/>
  <c r="I36" i="53"/>
  <c r="I47" i="53"/>
  <c r="J46" i="53"/>
  <c r="H44" i="53"/>
  <c r="I43" i="53"/>
  <c r="J42" i="53"/>
  <c r="M61" i="53" l="1"/>
  <c r="M44" i="53"/>
  <c r="M40" i="53"/>
  <c r="M41" i="53"/>
  <c r="M47" i="53"/>
  <c r="M45" i="53"/>
  <c r="M43" i="53"/>
  <c r="M36" i="53"/>
  <c r="M38" i="53"/>
  <c r="M46" i="53"/>
  <c r="M37" i="53"/>
  <c r="M42" i="53"/>
  <c r="M39" i="53"/>
  <c r="O62" i="53"/>
  <c r="O66" i="53"/>
  <c r="O70" i="53"/>
  <c r="O72" i="53"/>
  <c r="O69" i="53"/>
  <c r="O63" i="53"/>
  <c r="O67" i="53"/>
  <c r="O71" i="53"/>
  <c r="O64" i="53"/>
  <c r="O68" i="53"/>
  <c r="O65" i="53"/>
  <c r="O61" i="53"/>
  <c r="P62" i="53"/>
  <c r="P66" i="53"/>
  <c r="P70" i="53"/>
  <c r="P65" i="53"/>
  <c r="P61" i="53"/>
  <c r="P63" i="53"/>
  <c r="P67" i="53"/>
  <c r="P71" i="53"/>
  <c r="P68" i="53"/>
  <c r="P72" i="53"/>
  <c r="P69" i="53"/>
  <c r="P64" i="53"/>
  <c r="N62" i="53"/>
  <c r="N66" i="53"/>
  <c r="N70" i="53"/>
  <c r="N72" i="53"/>
  <c r="N65" i="53"/>
  <c r="N61" i="53"/>
  <c r="N63" i="53"/>
  <c r="N67" i="53"/>
  <c r="N71" i="53"/>
  <c r="N64" i="53"/>
  <c r="N68" i="53"/>
  <c r="N69" i="53"/>
  <c r="M62" i="53"/>
  <c r="M66" i="53"/>
  <c r="M70" i="53"/>
  <c r="M68" i="53"/>
  <c r="M69" i="53"/>
  <c r="M63" i="53"/>
  <c r="M67" i="53"/>
  <c r="M71" i="53"/>
  <c r="M64" i="53"/>
  <c r="M72" i="53"/>
  <c r="M65" i="53"/>
  <c r="Q62" i="53"/>
  <c r="Q66" i="53"/>
  <c r="Q70" i="53"/>
  <c r="Q65" i="53"/>
  <c r="Q69" i="53"/>
  <c r="Q61" i="53"/>
  <c r="Q63" i="53"/>
  <c r="Q67" i="53"/>
  <c r="Q71" i="53"/>
  <c r="Q64" i="53"/>
  <c r="Q68" i="53"/>
  <c r="Q72" i="53"/>
  <c r="R61" i="53" l="1"/>
  <c r="F51" i="41" s="1"/>
  <c r="R71" i="53"/>
  <c r="R68" i="53"/>
  <c r="R65" i="53"/>
  <c r="R67" i="53"/>
  <c r="R70" i="53"/>
  <c r="R72" i="53"/>
  <c r="R63" i="53"/>
  <c r="R66" i="53"/>
  <c r="R64" i="53"/>
  <c r="R69" i="53"/>
  <c r="R62" i="53"/>
  <c r="M48" i="53"/>
  <c r="AW110" i="53"/>
  <c r="AY110" i="53" s="1"/>
  <c r="F61" i="41" l="1"/>
  <c r="F62" i="41"/>
  <c r="F53" i="41"/>
  <c r="F60" i="41"/>
  <c r="F59" i="41"/>
  <c r="F55" i="41"/>
  <c r="F54" i="41"/>
  <c r="F52" i="41"/>
  <c r="F56" i="41"/>
  <c r="F57" i="41"/>
  <c r="F58" i="41"/>
  <c r="AY122" i="53"/>
  <c r="F64" i="41"/>
  <c r="F72" i="41"/>
  <c r="F75" i="41"/>
  <c r="F71" i="41"/>
  <c r="F67" i="41"/>
  <c r="F68" i="41"/>
  <c r="F74" i="41"/>
  <c r="F70" i="41"/>
  <c r="F66" i="41"/>
  <c r="F73" i="41"/>
  <c r="F69" i="41"/>
  <c r="F65" i="41"/>
  <c r="AD101" i="53"/>
  <c r="AE101" i="53"/>
  <c r="AA9" i="52"/>
  <c r="AA20" i="53" l="1"/>
  <c r="F38" i="41"/>
  <c r="F23" i="41"/>
  <c r="AA10" i="52"/>
  <c r="AF101" i="53" l="1"/>
  <c r="F24" i="41"/>
  <c r="AA11" i="52"/>
  <c r="F25" i="41" l="1"/>
  <c r="AA12" i="52"/>
  <c r="AA13" i="52" l="1"/>
  <c r="F26" i="41"/>
  <c r="F27" i="41" l="1"/>
  <c r="AA14" i="52"/>
  <c r="F28" i="41" l="1"/>
  <c r="AA15" i="52"/>
  <c r="F29" i="41" l="1"/>
  <c r="AA16" i="52"/>
  <c r="F30" i="41" l="1"/>
  <c r="AA17" i="52"/>
  <c r="F31" i="41" l="1"/>
  <c r="AA18" i="52"/>
  <c r="F32" i="41" l="1"/>
  <c r="AA19" i="52"/>
  <c r="F33" i="41" l="1"/>
  <c r="R73" i="53" l="1"/>
  <c r="F34" i="41"/>
  <c r="F21" i="41" l="1"/>
  <c r="AA20" i="52"/>
  <c r="H2" i="41" l="1"/>
  <c r="AX110" i="53"/>
  <c r="AZ110" i="53" l="1"/>
  <c r="F77" i="41" l="1"/>
  <c r="C129" i="53"/>
  <c r="F8" i="41" l="1"/>
  <c r="D76" i="32" l="1"/>
  <c r="AX111" i="53" l="1"/>
  <c r="AZ111" i="53" s="1"/>
  <c r="C130" i="53" s="1"/>
  <c r="N111" i="53"/>
  <c r="F78" i="41" l="1"/>
  <c r="F9" i="41" s="1"/>
  <c r="AX112" i="53"/>
  <c r="AZ112" i="53" s="1"/>
  <c r="F79" i="41" s="1"/>
  <c r="F10" i="41" s="1"/>
  <c r="D78" i="32" s="1"/>
  <c r="N112" i="53"/>
  <c r="AX113" i="53" l="1"/>
  <c r="AZ113" i="53" s="1"/>
  <c r="N113" i="53"/>
  <c r="C131" i="53"/>
  <c r="D77" i="32"/>
  <c r="N114" i="53" l="1"/>
  <c r="AX114" i="53"/>
  <c r="AZ114" i="53" s="1"/>
  <c r="C132" i="53"/>
  <c r="F80" i="41"/>
  <c r="AX115" i="53" l="1"/>
  <c r="AZ115" i="53" s="1"/>
  <c r="F82" i="41" s="1"/>
  <c r="F13" i="41" s="1"/>
  <c r="D81" i="32" s="1"/>
  <c r="N115" i="53"/>
  <c r="F11" i="41"/>
  <c r="F81" i="41"/>
  <c r="F12" i="41" s="1"/>
  <c r="D80" i="32" s="1"/>
  <c r="C133" i="53"/>
  <c r="AX116" i="53" l="1"/>
  <c r="AZ116" i="53" s="1"/>
  <c r="C135" i="53" s="1"/>
  <c r="C134" i="53"/>
  <c r="N116" i="53"/>
  <c r="D79" i="32"/>
  <c r="N117" i="53"/>
  <c r="AX117" i="53" l="1"/>
  <c r="AZ117" i="53" s="1"/>
  <c r="F84" i="41" s="1"/>
  <c r="F83" i="41"/>
  <c r="F14" i="41" s="1"/>
  <c r="D82" i="32" s="1"/>
  <c r="C136" i="53" l="1"/>
  <c r="AX118" i="53"/>
  <c r="AZ118" i="53" s="1"/>
  <c r="F85" i="41" s="1"/>
  <c r="F16" i="41" s="1"/>
  <c r="D84" i="32" s="1"/>
  <c r="F15" i="41"/>
  <c r="N118" i="53"/>
  <c r="C137" i="53" l="1"/>
  <c r="AX119" i="53"/>
  <c r="AZ119" i="53" s="1"/>
  <c r="C138" i="53" s="1"/>
  <c r="D83" i="32"/>
  <c r="N119" i="53"/>
  <c r="AX120" i="53" l="1"/>
  <c r="AZ120" i="53" s="1"/>
  <c r="F87" i="41" s="1"/>
  <c r="F18" i="41" s="1"/>
  <c r="D86" i="32" s="1"/>
  <c r="F86" i="41"/>
  <c r="F17" i="41" s="1"/>
  <c r="N120" i="53"/>
  <c r="C139" i="53" l="1"/>
  <c r="N121" i="53"/>
  <c r="AX121" i="53"/>
  <c r="AZ121" i="53" s="1"/>
  <c r="D85" i="32"/>
  <c r="AX122" i="53" l="1"/>
  <c r="C140" i="53"/>
  <c r="C141" i="53" s="1"/>
  <c r="F88" i="41"/>
  <c r="AZ122" i="53"/>
  <c r="F19" i="41" l="1"/>
  <c r="F36" i="41"/>
  <c r="D87" i="32" l="1"/>
  <c r="D75" i="32" s="1"/>
  <c r="F6" i="41"/>
  <c r="AX111" i="66" l="1"/>
  <c r="N111" i="66"/>
  <c r="AX112" i="66" l="1"/>
  <c r="AZ112" i="66" s="1"/>
  <c r="C131" i="66" s="1"/>
  <c r="AZ111" i="66"/>
  <c r="F79" i="67" l="1"/>
  <c r="F10" i="67" s="1"/>
  <c r="E78" i="64" s="1"/>
  <c r="N112" i="66"/>
  <c r="AX113" i="66"/>
  <c r="AZ113" i="66" s="1"/>
  <c r="F78" i="67"/>
  <c r="C130" i="66"/>
  <c r="AX114" i="66"/>
  <c r="N113" i="66"/>
  <c r="F80" i="67" l="1"/>
  <c r="F11" i="67" s="1"/>
  <c r="E79" i="64" s="1"/>
  <c r="C132" i="66"/>
  <c r="AZ114" i="66"/>
  <c r="N114" i="66"/>
  <c r="AX115" i="66"/>
  <c r="AZ115" i="66" s="1"/>
  <c r="F9" i="67"/>
  <c r="C134" i="66" l="1"/>
  <c r="F82" i="67"/>
  <c r="F13" i="67" s="1"/>
  <c r="E81" i="64" s="1"/>
  <c r="E77" i="64"/>
  <c r="AX116" i="66"/>
  <c r="AZ116" i="66" s="1"/>
  <c r="N115" i="66"/>
  <c r="C133" i="66"/>
  <c r="F81" i="67"/>
  <c r="C135" i="66" l="1"/>
  <c r="F83" i="67"/>
  <c r="F14" i="67" s="1"/>
  <c r="E82" i="64" s="1"/>
  <c r="F12" i="67"/>
  <c r="N116" i="66"/>
  <c r="AX117" i="66"/>
  <c r="AX118" i="66" l="1"/>
  <c r="AZ118" i="66" s="1"/>
  <c r="N117" i="66"/>
  <c r="E80" i="64"/>
  <c r="AZ117" i="66"/>
  <c r="AX119" i="66" l="1"/>
  <c r="AZ119" i="66" s="1"/>
  <c r="N118" i="66"/>
  <c r="F84" i="67"/>
  <c r="C136" i="66"/>
  <c r="C137" i="66"/>
  <c r="F85" i="67"/>
  <c r="F16" i="67" s="1"/>
  <c r="E84" i="64" s="1"/>
  <c r="F15" i="67" l="1"/>
  <c r="AX120" i="66"/>
  <c r="AZ120" i="66" s="1"/>
  <c r="N119" i="66"/>
  <c r="C138" i="66"/>
  <c r="F86" i="67"/>
  <c r="F17" i="67" s="1"/>
  <c r="E85" i="64" s="1"/>
  <c r="F87" i="67" l="1"/>
  <c r="F18" i="67" s="1"/>
  <c r="E86" i="64" s="1"/>
  <c r="C139" i="66"/>
  <c r="N120" i="66"/>
  <c r="AX121" i="66"/>
  <c r="N121" i="66"/>
  <c r="E83" i="64"/>
  <c r="AZ121" i="66" l="1"/>
  <c r="AX122" i="66"/>
  <c r="F88" i="67" l="1"/>
  <c r="C140" i="66"/>
  <c r="C141" i="66" s="1"/>
  <c r="AZ122" i="66"/>
  <c r="F19" i="67" l="1"/>
  <c r="F36" i="67"/>
  <c r="E87" i="64" l="1"/>
  <c r="E75" i="64" s="1"/>
  <c r="F6" i="67"/>
</calcChain>
</file>

<file path=xl/sharedStrings.xml><?xml version="1.0" encoding="utf-8"?>
<sst xmlns="http://schemas.openxmlformats.org/spreadsheetml/2006/main" count="2568" uniqueCount="493">
  <si>
    <t>Monitoring Spreadsheet: JCM_KH_AM004_ver01.1</t>
    <phoneticPr fontId="9"/>
  </si>
  <si>
    <t>Monitoring Plan Sheet (Input Sheet) [Attachment to Project Design Document]</t>
  </si>
  <si>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</si>
  <si>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</si>
  <si>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</si>
  <si>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</si>
  <si>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</si>
  <si>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</si>
  <si>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</si>
  <si>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</si>
  <si>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</si>
  <si>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</si>
  <si>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</si>
  <si>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</si>
  <si>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</si>
  <si>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</si>
  <si>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</si>
  <si>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</si>
  <si>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</si>
  <si>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</si>
  <si>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</si>
  <si>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</si>
  <si>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</si>
  <si>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9"/>
  </si>
  <si>
    <r>
      <t>CA</t>
    </r>
    <r>
      <rPr>
        <vertAlign val="subscript"/>
        <sz val="11"/>
        <rFont val="Arial"/>
        <family val="2"/>
      </rPr>
      <t>pj i y</t>
    </r>
    <phoneticPr fontId="9"/>
  </si>
  <si>
    <r>
      <t xml:space="preserve">(Option 1) Area converted from forest class </t>
    </r>
    <r>
      <rPr>
        <i/>
        <sz val="11"/>
        <rFont val="Arial"/>
        <family val="2"/>
      </rPr>
      <t>i</t>
    </r>
    <r>
      <rPr>
        <sz val="11"/>
        <rFont val="Arial"/>
        <family val="2"/>
      </rPr>
      <t xml:space="preserve"> to non-forest in the project area in year </t>
    </r>
    <r>
      <rPr>
        <i/>
        <sz val="11"/>
        <rFont val="Arial"/>
        <family val="2"/>
      </rPr>
      <t>y</t>
    </r>
    <phoneticPr fontId="9"/>
  </si>
  <si>
    <t>-</t>
    <phoneticPr fontId="9"/>
  </si>
  <si>
    <t>ha</t>
    <phoneticPr fontId="9"/>
  </si>
  <si>
    <t>Option A</t>
    <phoneticPr fontId="9"/>
  </si>
  <si>
    <t>Cambodia's official forest map</t>
    <phoneticPr fontId="9"/>
  </si>
  <si>
    <t>Input on "MPS(input_PJ_Opt1)" sheet</t>
    <phoneticPr fontId="9"/>
  </si>
  <si>
    <t>(2)</t>
  </si>
  <si>
    <r>
      <t>CA</t>
    </r>
    <r>
      <rPr>
        <vertAlign val="subscript"/>
        <sz val="11"/>
        <rFont val="Arial"/>
        <family val="2"/>
      </rPr>
      <t>d pj i y</t>
    </r>
    <phoneticPr fontId="9"/>
  </si>
  <si>
    <r>
      <t xml:space="preserve">(Option 1) Area converted from forest class </t>
    </r>
    <r>
      <rPr>
        <i/>
        <sz val="11"/>
        <rFont val="Arial"/>
        <family val="2"/>
      </rPr>
      <t>i</t>
    </r>
    <r>
      <rPr>
        <sz val="11"/>
        <rFont val="Arial"/>
        <family val="2"/>
      </rPr>
      <t xml:space="preserve"> to non-forest in the displacement belt in year </t>
    </r>
    <r>
      <rPr>
        <i/>
        <sz val="11"/>
        <rFont val="Arial"/>
        <family val="2"/>
      </rPr>
      <t>y</t>
    </r>
    <phoneticPr fontId="9"/>
  </si>
  <si>
    <t>(3)</t>
  </si>
  <si>
    <r>
      <t>FC</t>
    </r>
    <r>
      <rPr>
        <vertAlign val="subscript"/>
        <sz val="11"/>
        <rFont val="Arial"/>
        <family val="2"/>
      </rPr>
      <t>f y</t>
    </r>
    <phoneticPr fontId="9"/>
  </si>
  <si>
    <r>
      <t xml:space="preserve">(Direct method) Quantity of fuel type </t>
    </r>
    <r>
      <rPr>
        <i/>
        <sz val="11"/>
        <rFont val="Arial"/>
        <family val="2"/>
      </rPr>
      <t>f</t>
    </r>
    <r>
      <rPr>
        <sz val="11"/>
        <rFont val="Arial"/>
        <family val="2"/>
      </rPr>
      <t xml:space="preserve"> consumed in year </t>
    </r>
    <r>
      <rPr>
        <i/>
        <sz val="11"/>
        <rFont val="Arial"/>
        <family val="2"/>
      </rPr>
      <t>y</t>
    </r>
    <phoneticPr fontId="9"/>
  </si>
  <si>
    <t>kg</t>
    <phoneticPr fontId="9"/>
  </si>
  <si>
    <t>Option B/C</t>
    <phoneticPr fontId="9"/>
  </si>
  <si>
    <t>Invoices, project management record</t>
    <phoneticPr fontId="9"/>
  </si>
  <si>
    <t>Collect all purchase records of fuel used for the project activities, and record type and amount of fuel and type of vehicle/equipment.</t>
    <phoneticPr fontId="9"/>
  </si>
  <si>
    <t>Once every year</t>
    <phoneticPr fontId="9"/>
  </si>
  <si>
    <t>(4)</t>
  </si>
  <si>
    <r>
      <t>NVE</t>
    </r>
    <r>
      <rPr>
        <vertAlign val="subscript"/>
        <sz val="11"/>
        <rFont val="Arial"/>
        <family val="2"/>
      </rPr>
      <t>j f y</t>
    </r>
    <phoneticPr fontId="9"/>
  </si>
  <si>
    <r>
      <t xml:space="preserve">(Indirect method) Number of vehicle 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</si>
  <si>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t>unit</t>
    <phoneticPr fontId="9"/>
  </si>
  <si>
    <t>Option C</t>
    <phoneticPr fontId="9"/>
  </si>
  <si>
    <t>Project management record</t>
    <phoneticPr fontId="9"/>
  </si>
  <si>
    <r>
      <t xml:space="preserve">Record number of vehicle or equipment type </t>
    </r>
    <r>
      <rPr>
        <i/>
        <sz val="11"/>
        <rFont val="Arial"/>
        <family val="2"/>
      </rPr>
      <t>j</t>
    </r>
    <r>
      <rPr>
        <sz val="11"/>
        <rFont val="Arial"/>
        <family val="2"/>
      </rPr>
      <t xml:space="preserve"> used for the project activities</t>
    </r>
    <phoneticPr fontId="9"/>
  </si>
  <si>
    <t>(5)</t>
  </si>
  <si>
    <r>
      <t>TDU</t>
    </r>
    <r>
      <rPr>
        <vertAlign val="subscript"/>
        <sz val="11"/>
        <rFont val="Arial"/>
        <family val="2"/>
      </rPr>
      <t>j f y</t>
    </r>
    <phoneticPr fontId="9"/>
  </si>
  <si>
    <r>
      <t xml:space="preserve">(Indirect method) Total travel distance for vehicle type </t>
    </r>
    <r>
      <rPr>
        <i/>
        <sz val="11"/>
        <rFont val="Arial"/>
        <family val="2"/>
      </rPr>
      <t xml:space="preserve">j </t>
    </r>
    <r>
      <rPr>
        <sz val="11"/>
        <rFont val="Arial"/>
        <family val="2"/>
      </rPr>
      <t xml:space="preserve">or use hours for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</si>
  <si>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t>km or hour</t>
    <phoneticPr fontId="9"/>
  </si>
  <si>
    <t>Project management record (trip record etc)</t>
    <phoneticPr fontId="9"/>
  </si>
  <si>
    <t xml:space="preserve">Record total travel distance or total use hours at least 50% of all vehicles or equipment for each type of vehicle or equipment using GPS or watch, and calculate average total travel distance or total use hours. </t>
    <phoneticPr fontId="9"/>
  </si>
  <si>
    <t>(6)</t>
  </si>
  <si>
    <r>
      <t>SEC</t>
    </r>
    <r>
      <rPr>
        <vertAlign val="subscript"/>
        <sz val="11"/>
        <rFont val="Arial"/>
        <family val="2"/>
      </rPr>
      <t>j f</t>
    </r>
    <phoneticPr fontId="9"/>
  </si>
  <si>
    <r>
      <t xml:space="preserve">Average specific energy consumption of vehicle or equipment type </t>
    </r>
    <r>
      <rPr>
        <i/>
        <sz val="11"/>
        <rFont val="Arial"/>
        <family val="2"/>
      </rPr>
      <t>j</t>
    </r>
    <r>
      <rPr>
        <sz val="11"/>
        <rFont val="Arial"/>
        <family val="2"/>
      </rPr>
      <t xml:space="preserve"> for fuel type </t>
    </r>
    <r>
      <rPr>
        <i/>
        <sz val="11"/>
        <rFont val="Arial"/>
        <family val="2"/>
      </rPr>
      <t>f</t>
    </r>
    <phoneticPr fontId="9"/>
  </si>
  <si>
    <r>
      <t>kg km</t>
    </r>
    <r>
      <rPr>
        <vertAlign val="superscript"/>
        <sz val="11"/>
        <rFont val="Arial"/>
        <family val="2"/>
      </rPr>
      <t>-1</t>
    </r>
    <r>
      <rPr>
        <sz val="11"/>
        <rFont val="Arial"/>
        <family val="2"/>
      </rPr>
      <t xml:space="preserve"> or hour</t>
    </r>
    <r>
      <rPr>
        <vertAlign val="superscript"/>
        <sz val="11"/>
        <rFont val="Arial"/>
        <family val="2"/>
      </rPr>
      <t>-1</t>
    </r>
    <phoneticPr fontId="9"/>
  </si>
  <si>
    <t>Option A/C</t>
    <phoneticPr fontId="9"/>
  </si>
  <si>
    <t>Manufacturer specifications or measurement</t>
    <phoneticPr fontId="9"/>
  </si>
  <si>
    <t>Reference figures such as manufacturer specifications can be used. If no data available, fuel consumption and distance are recorded before the initial verification.</t>
    <phoneticPr fontId="9"/>
  </si>
  <si>
    <t>Once before the initial verification</t>
    <phoneticPr fontId="9"/>
  </si>
  <si>
    <t>(7)</t>
  </si>
  <si>
    <r>
      <t>M</t>
    </r>
    <r>
      <rPr>
        <vertAlign val="subscript"/>
        <sz val="11"/>
        <rFont val="Arial"/>
        <family val="2"/>
      </rPr>
      <t>SN c y</t>
    </r>
    <phoneticPr fontId="9"/>
  </si>
  <si>
    <r>
      <t xml:space="preserve">Mass of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</si>
  <si>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t>t</t>
    <phoneticPr fontId="9"/>
  </si>
  <si>
    <t>Collect all purchase records of synthetic fertilizer used for the project activities, and record type and amount of fertilizer and cropland type where fertilizer is applied.</t>
    <phoneticPr fontId="9"/>
  </si>
  <si>
    <t>(8)</t>
  </si>
  <si>
    <r>
      <t>M</t>
    </r>
    <r>
      <rPr>
        <vertAlign val="subscript"/>
        <sz val="11"/>
        <rFont val="Arial"/>
        <family val="2"/>
      </rPr>
      <t>ON c y</t>
    </r>
    <phoneticPr fontId="9"/>
  </si>
  <si>
    <r>
      <t xml:space="preserve">Mass of organic fertilizer made from materials sourced from outside of the project area and the activity area and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</si>
  <si>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t>Measure weight of organic fertilizer made from materials sourced from outside of the project area and the activity area, record the weight, fertilizer type and cropland type where fertilizer is applied.</t>
    <phoneticPr fontId="9"/>
  </si>
  <si>
    <t>(9)</t>
  </si>
  <si>
    <r>
      <t>NC</t>
    </r>
    <r>
      <rPr>
        <vertAlign val="subscript"/>
        <sz val="11"/>
        <rFont val="Arial"/>
        <family val="2"/>
      </rPr>
      <t>SN c</t>
    </r>
    <phoneticPr fontId="9"/>
  </si>
  <si>
    <r>
      <t xml:space="preserve">Nitrogen content of synthetic fertilizer applied in cropland type </t>
    </r>
    <r>
      <rPr>
        <i/>
        <sz val="11"/>
        <rFont val="Arial"/>
        <family val="2"/>
      </rPr>
      <t>c</t>
    </r>
    <phoneticPr fontId="9"/>
  </si>
  <si>
    <r>
      <t>tN (t fertilizer)</t>
    </r>
    <r>
      <rPr>
        <vertAlign val="superscript"/>
        <sz val="11"/>
        <rFont val="Arial"/>
        <family val="2"/>
      </rPr>
      <t>-1</t>
    </r>
    <phoneticPr fontId="9"/>
  </si>
  <si>
    <t>Data from producers of synthetic fertilize</t>
    <phoneticPr fontId="9"/>
  </si>
  <si>
    <t>(10)</t>
  </si>
  <si>
    <r>
      <t>NC</t>
    </r>
    <r>
      <rPr>
        <vertAlign val="subscript"/>
        <sz val="11"/>
        <rFont val="Arial"/>
        <family val="2"/>
      </rPr>
      <t>ON c</t>
    </r>
    <phoneticPr fontId="9"/>
  </si>
  <si>
    <r>
      <t xml:space="preserve">Nitrogen content of organic fertilizer applied in cropland type </t>
    </r>
    <r>
      <rPr>
        <i/>
        <sz val="11"/>
        <rFont val="Arial"/>
        <family val="2"/>
      </rPr>
      <t>c</t>
    </r>
    <phoneticPr fontId="9"/>
  </si>
  <si>
    <t>Published data</t>
    <phoneticPr fontId="9"/>
  </si>
  <si>
    <t>(11)</t>
  </si>
  <si>
    <r>
      <t>Crop</t>
    </r>
    <r>
      <rPr>
        <vertAlign val="subscript"/>
        <sz val="11"/>
        <rFont val="Arial"/>
        <family val="2"/>
      </rPr>
      <t>c T y</t>
    </r>
    <phoneticPr fontId="9"/>
  </si>
  <si>
    <r>
      <t xml:space="preserve">Harvested annual dry matter yield for N-fixing crop </t>
    </r>
    <r>
      <rPr>
        <i/>
        <sz val="11"/>
        <rFont val="Arial"/>
        <family val="2"/>
      </rPr>
      <t xml:space="preserve">T </t>
    </r>
    <r>
      <rPr>
        <sz val="11"/>
        <rFont val="Arial"/>
        <family val="2"/>
      </rPr>
      <t xml:space="preserve">per unit area,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</si>
  <si>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t d.m. ha</t>
    </r>
    <r>
      <rPr>
        <vertAlign val="superscript"/>
        <sz val="11"/>
        <rFont val="Arial"/>
        <family val="2"/>
      </rPr>
      <t>-1</t>
    </r>
    <phoneticPr fontId="9"/>
  </si>
  <si>
    <t>Published data or Project management record</t>
    <phoneticPr fontId="9"/>
  </si>
  <si>
    <r>
      <t>Select 10% of farmers who introduce N-fixing crops under the project, measure dry yield for N-fixing crop, and calculate average t d.m ha</t>
    </r>
    <r>
      <rPr>
        <vertAlign val="superscript"/>
        <sz val="11"/>
        <rFont val="Arial"/>
        <family val="2"/>
      </rPr>
      <t>-1</t>
    </r>
    <r>
      <rPr>
        <sz val="11"/>
        <rFont val="Arial"/>
        <family val="2"/>
      </rPr>
      <t xml:space="preserve">. Alternatively published average dry yield data for the N-fixing crop can be used. </t>
    </r>
    <phoneticPr fontId="9"/>
  </si>
  <si>
    <t>(12)</t>
  </si>
  <si>
    <r>
      <t>Area</t>
    </r>
    <r>
      <rPr>
        <vertAlign val="subscript"/>
        <sz val="11"/>
        <rFont val="Arial"/>
        <family val="2"/>
      </rPr>
      <t>c T y</t>
    </r>
    <phoneticPr fontId="9"/>
  </si>
  <si>
    <r>
      <t xml:space="preserve">Total annual area harvested of N-fixing crop </t>
    </r>
    <r>
      <rPr>
        <i/>
        <sz val="11"/>
        <rFont val="Arial"/>
        <family val="2"/>
      </rPr>
      <t>T</t>
    </r>
    <r>
      <rPr>
        <sz val="11"/>
        <rFont val="Arial"/>
        <family val="2"/>
      </rPr>
      <t xml:space="preserve">,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</si>
  <si>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t>Record area harvested N-fixing crop by interviewing farmers. Alternatively, a project activity plan for area of farmland where N-fixing crop is introduced can be also used.</t>
    <phoneticPr fontId="9"/>
  </si>
  <si>
    <t>(13)</t>
  </si>
  <si>
    <r>
      <t>R</t>
    </r>
    <r>
      <rPr>
        <vertAlign val="subscript"/>
        <sz val="11"/>
        <rFont val="Arial"/>
        <family val="2"/>
      </rPr>
      <t>AG T</t>
    </r>
    <phoneticPr fontId="9"/>
  </si>
  <si>
    <r>
      <t xml:space="preserve">Ratio of above-ground residues to harvested yield for N-fixing crop </t>
    </r>
    <r>
      <rPr>
        <i/>
        <sz val="11"/>
        <rFont val="Arial"/>
        <family val="2"/>
      </rPr>
      <t>T</t>
    </r>
    <phoneticPr fontId="9"/>
  </si>
  <si>
    <r>
      <t>t d.m. (t d.m.)</t>
    </r>
    <r>
      <rPr>
        <vertAlign val="superscript"/>
        <sz val="11"/>
        <rFont val="Arial"/>
        <family val="2"/>
      </rPr>
      <t>-1</t>
    </r>
    <phoneticPr fontId="9"/>
  </si>
  <si>
    <t>Published data or calculation</t>
    <phoneticPr fontId="9"/>
  </si>
  <si>
    <t>Calculate based on Table 11.2 of Ch. 11, Vol, 4 of 2006 IPCC Guidelines, published and/or measured yield data.</t>
    <phoneticPr fontId="9"/>
  </si>
  <si>
    <t>(14)</t>
  </si>
  <si>
    <r>
      <t>R</t>
    </r>
    <r>
      <rPr>
        <vertAlign val="subscript"/>
        <sz val="11"/>
        <rFont val="Arial"/>
        <family val="2"/>
      </rPr>
      <t>BG T</t>
    </r>
    <phoneticPr fontId="9"/>
  </si>
  <si>
    <r>
      <t xml:space="preserve">Ratio of below-ground residues to harvested yield for N-fixing crop </t>
    </r>
    <r>
      <rPr>
        <i/>
        <sz val="11"/>
        <rFont val="Arial"/>
        <family val="2"/>
      </rPr>
      <t>T</t>
    </r>
    <phoneticPr fontId="9"/>
  </si>
  <si>
    <t>(15)</t>
  </si>
  <si>
    <r>
      <t>N</t>
    </r>
    <r>
      <rPr>
        <vertAlign val="subscript"/>
        <sz val="11"/>
        <rFont val="Arial"/>
        <family val="2"/>
      </rPr>
      <t>AG T</t>
    </r>
    <phoneticPr fontId="9"/>
  </si>
  <si>
    <r>
      <t xml:space="preserve">N content of above-ground residues for N-fixing crop </t>
    </r>
    <r>
      <rPr>
        <i/>
        <sz val="11"/>
        <rFont val="Arial"/>
        <family val="2"/>
      </rPr>
      <t>T</t>
    </r>
    <phoneticPr fontId="9"/>
  </si>
  <si>
    <r>
      <t>t N (t d.m.)</t>
    </r>
    <r>
      <rPr>
        <vertAlign val="superscript"/>
        <sz val="11"/>
        <rFont val="Arial"/>
        <family val="2"/>
      </rPr>
      <t>-1</t>
    </r>
    <phoneticPr fontId="9"/>
  </si>
  <si>
    <t>Table 11.2 of Ch. 11, Vol, 4 of 2006 IPCC Guidelines</t>
    <phoneticPr fontId="9"/>
  </si>
  <si>
    <t>(16)</t>
  </si>
  <si>
    <r>
      <t>N</t>
    </r>
    <r>
      <rPr>
        <vertAlign val="subscript"/>
        <sz val="11"/>
        <rFont val="Arial"/>
        <family val="2"/>
      </rPr>
      <t>BG T</t>
    </r>
    <phoneticPr fontId="9"/>
  </si>
  <si>
    <r>
      <t xml:space="preserve">N content of below-ground residues for N-fixing crop </t>
    </r>
    <r>
      <rPr>
        <i/>
        <sz val="11"/>
        <rFont val="Arial"/>
        <family val="2"/>
      </rPr>
      <t>T</t>
    </r>
    <phoneticPr fontId="9"/>
  </si>
  <si>
    <t>(17)</t>
  </si>
  <si>
    <r>
      <t>Frac</t>
    </r>
    <r>
      <rPr>
        <vertAlign val="subscript"/>
        <sz val="11"/>
        <rFont val="Arial"/>
        <family val="2"/>
      </rPr>
      <t>Renew T</t>
    </r>
    <phoneticPr fontId="9"/>
  </si>
  <si>
    <r>
      <t xml:space="preserve">Fraction of total area under N-fixing crop </t>
    </r>
    <r>
      <rPr>
        <i/>
        <sz val="11"/>
        <rFont val="Arial"/>
        <family val="2"/>
      </rPr>
      <t>T</t>
    </r>
    <r>
      <rPr>
        <sz val="11"/>
        <rFont val="Arial"/>
        <family val="2"/>
      </rPr>
      <t xml:space="preserve"> that is renewed annually</t>
    </r>
    <phoneticPr fontId="9"/>
  </si>
  <si>
    <t>dimensionless</t>
    <phoneticPr fontId="9"/>
  </si>
  <si>
    <t>Interview</t>
    <phoneticPr fontId="9"/>
  </si>
  <si>
    <t>Interview for local agriculture expert</t>
    <phoneticPr fontId="9"/>
  </si>
  <si>
    <t>(18)</t>
  </si>
  <si>
    <r>
      <t>M</t>
    </r>
    <r>
      <rPr>
        <vertAlign val="subscript"/>
        <sz val="11"/>
        <rFont val="Arial"/>
        <family val="2"/>
      </rPr>
      <t>limestone y</t>
    </r>
    <phoneticPr fontId="9"/>
  </si>
  <si>
    <r>
      <t>Mass of calcic limestone (CaCO</t>
    </r>
    <r>
      <rPr>
        <vertAlign val="subscript"/>
        <sz val="11"/>
        <rFont val="Arial"/>
        <family val="2"/>
      </rPr>
      <t>3</t>
    </r>
    <r>
      <rPr>
        <sz val="11"/>
        <rFont val="Arial"/>
        <family val="2"/>
      </rPr>
      <t xml:space="preserve">) applied for implementation of the project activities in the project area and the activity area in year </t>
    </r>
    <r>
      <rPr>
        <i/>
        <sz val="11"/>
        <rFont val="Arial"/>
        <family val="2"/>
      </rPr>
      <t>y</t>
    </r>
    <phoneticPr fontId="9"/>
  </si>
  <si>
    <t>Collect all purchase records of calcic limestone used for the project activities, and record the amount.</t>
    <phoneticPr fontId="9"/>
  </si>
  <si>
    <t>(19)</t>
  </si>
  <si>
    <r>
      <t>M</t>
    </r>
    <r>
      <rPr>
        <vertAlign val="subscript"/>
        <sz val="11"/>
        <rFont val="Arial"/>
        <family val="2"/>
      </rPr>
      <t>dolomite y</t>
    </r>
    <phoneticPr fontId="9"/>
  </si>
  <si>
    <r>
      <t>Mass of dolomite (CaMg(CO</t>
    </r>
    <r>
      <rPr>
        <vertAlign val="subscript"/>
        <sz val="11"/>
        <rFont val="Arial"/>
        <family val="2"/>
      </rPr>
      <t>3</t>
    </r>
    <r>
      <rPr>
        <sz val="11"/>
        <rFont val="Arial"/>
        <family val="2"/>
      </rPr>
      <t>)</t>
    </r>
    <r>
      <rPr>
        <vertAlign val="subscript"/>
        <sz val="11"/>
        <rFont val="Arial"/>
        <family val="2"/>
      </rPr>
      <t>2</t>
    </r>
    <r>
      <rPr>
        <sz val="11"/>
        <rFont val="Arial"/>
        <family val="2"/>
      </rPr>
      <t xml:space="preserve">) applied for implementation of the project activities in the project area and the activity area in year </t>
    </r>
    <r>
      <rPr>
        <i/>
        <sz val="11"/>
        <rFont val="Arial"/>
        <family val="2"/>
      </rPr>
      <t>y</t>
    </r>
    <phoneticPr fontId="9"/>
  </si>
  <si>
    <t>Collect all purchase records of dolomite used for the project activities, and record the amount.</t>
    <phoneticPr fontId="9"/>
  </si>
  <si>
    <t>(20)</t>
  </si>
  <si>
    <r>
      <t>M</t>
    </r>
    <r>
      <rPr>
        <vertAlign val="subscript"/>
        <sz val="11"/>
        <rFont val="Arial"/>
        <family val="2"/>
      </rPr>
      <t>urea y</t>
    </r>
    <phoneticPr fontId="9"/>
  </si>
  <si>
    <r>
      <t xml:space="preserve">Mass of urea fertilizer applied for implementation of the project activities in the project area and the activity area in year </t>
    </r>
    <r>
      <rPr>
        <i/>
        <sz val="11"/>
        <rFont val="Arial"/>
        <family val="2"/>
      </rPr>
      <t>y</t>
    </r>
    <phoneticPr fontId="9"/>
  </si>
  <si>
    <t>Collect all purchase records of urea fertilizer used for the project activities, and record the amount.</t>
    <phoneticPr fontId="9"/>
  </si>
  <si>
    <r>
      <t xml:space="preserve">Table 2: Project-specific parameters to be fixed </t>
    </r>
    <r>
      <rPr>
        <b/>
        <i/>
        <sz val="11"/>
        <color indexed="8"/>
        <rFont val="Arial"/>
        <family val="2"/>
      </rPr>
      <t>ex ante</t>
    </r>
    <phoneticPr fontId="2"/>
  </si>
  <si>
    <r>
      <t>A</t>
    </r>
    <r>
      <rPr>
        <vertAlign val="subscript"/>
        <sz val="11"/>
        <rFont val="Arial"/>
        <family val="2"/>
      </rPr>
      <t>i 0</t>
    </r>
    <phoneticPr fontId="9"/>
  </si>
  <si>
    <r>
      <t xml:space="preserve">Area of forest class </t>
    </r>
    <r>
      <rPr>
        <i/>
        <sz val="11"/>
        <rFont val="Arial"/>
        <family val="2"/>
      </rPr>
      <t>i</t>
    </r>
    <r>
      <rPr>
        <sz val="11"/>
        <rFont val="Arial"/>
        <family val="2"/>
      </rPr>
      <t xml:space="preserve"> in the project area at the inception of the project</t>
    </r>
    <phoneticPr fontId="9"/>
  </si>
  <si>
    <t>Cambodia's official forest map</t>
  </si>
  <si>
    <t>Input on "MPS(input_RL_Opt1)" sheet</t>
    <phoneticPr fontId="9"/>
  </si>
  <si>
    <r>
      <t>A</t>
    </r>
    <r>
      <rPr>
        <vertAlign val="subscript"/>
        <sz val="11"/>
        <rFont val="Arial"/>
        <family val="2"/>
      </rPr>
      <t>d i 0</t>
    </r>
    <phoneticPr fontId="9"/>
  </si>
  <si>
    <r>
      <t xml:space="preserve">Area of forest class </t>
    </r>
    <r>
      <rPr>
        <i/>
        <sz val="11"/>
        <rFont val="Arial"/>
        <family val="2"/>
      </rPr>
      <t>i</t>
    </r>
    <r>
      <rPr>
        <sz val="11"/>
        <rFont val="Arial"/>
        <family val="2"/>
      </rPr>
      <t xml:space="preserve"> in the displacement belt at the inception of the project</t>
    </r>
    <phoneticPr fontId="9"/>
  </si>
  <si>
    <r>
      <t>d</t>
    </r>
    <r>
      <rPr>
        <vertAlign val="subscript"/>
        <sz val="11"/>
        <rFont val="Arial"/>
        <family val="2"/>
      </rPr>
      <t>y</t>
    </r>
    <phoneticPr fontId="9"/>
  </si>
  <si>
    <r>
      <t xml:space="preserve">Number of operating days in year </t>
    </r>
    <r>
      <rPr>
        <i/>
        <sz val="11"/>
        <rFont val="Arial"/>
        <family val="2"/>
      </rPr>
      <t>y</t>
    </r>
    <phoneticPr fontId="2"/>
  </si>
  <si>
    <t>days</t>
    <phoneticPr fontId="2"/>
  </si>
  <si>
    <t>Decided based on starting date of project operation and expected operational lifetime of project</t>
    <phoneticPr fontId="2"/>
  </si>
  <si>
    <r>
      <t>d</t>
    </r>
    <r>
      <rPr>
        <vertAlign val="subscript"/>
        <sz val="11"/>
        <rFont val="Arial"/>
        <family val="2"/>
      </rPr>
      <t>0 y</t>
    </r>
    <phoneticPr fontId="9"/>
  </si>
  <si>
    <r>
      <t xml:space="preserve">Number of days in year </t>
    </r>
    <r>
      <rPr>
        <i/>
        <sz val="11"/>
        <rFont val="Arial"/>
        <family val="2"/>
      </rPr>
      <t>y</t>
    </r>
    <phoneticPr fontId="2"/>
  </si>
  <si>
    <r>
      <t xml:space="preserve">Automatically decided by number of year </t>
    </r>
    <r>
      <rPr>
        <i/>
        <sz val="11"/>
        <rFont val="Arial"/>
        <family val="2"/>
      </rPr>
      <t>y</t>
    </r>
    <phoneticPr fontId="2"/>
  </si>
  <si>
    <r>
      <t>P</t>
    </r>
    <r>
      <rPr>
        <vertAlign val="subscript"/>
        <sz val="11"/>
        <rFont val="Arial"/>
        <family val="2"/>
      </rPr>
      <t>E</t>
    </r>
    <phoneticPr fontId="9"/>
  </si>
  <si>
    <t>Annual transition probability from Evergreen forest (E) to non-forest within the reference area</t>
    <phoneticPr fontId="9"/>
  </si>
  <si>
    <t>Cambodia’s official forest reference level (FRL)</t>
    <phoneticPr fontId="9"/>
  </si>
  <si>
    <r>
      <t>P</t>
    </r>
    <r>
      <rPr>
        <vertAlign val="subscript"/>
        <sz val="11"/>
        <rFont val="Arial"/>
        <family val="2"/>
      </rPr>
      <t>SE</t>
    </r>
    <phoneticPr fontId="9"/>
  </si>
  <si>
    <t>Annual transition probability from Semi-evergreen forest (SE) to non-forest within the reference area</t>
    <phoneticPr fontId="9"/>
  </si>
  <si>
    <r>
      <t>P</t>
    </r>
    <r>
      <rPr>
        <vertAlign val="subscript"/>
        <sz val="11"/>
        <rFont val="Arial"/>
        <family val="2"/>
      </rPr>
      <t>P</t>
    </r>
    <phoneticPr fontId="9"/>
  </si>
  <si>
    <t>Annual transition probability from Pine forest (P) to non-forest within the reference area</t>
    <phoneticPr fontId="9"/>
  </si>
  <si>
    <r>
      <t>P</t>
    </r>
    <r>
      <rPr>
        <vertAlign val="subscript"/>
        <sz val="11"/>
        <rFont val="Arial"/>
        <family val="2"/>
      </rPr>
      <t>D</t>
    </r>
    <phoneticPr fontId="9"/>
  </si>
  <si>
    <t>Annual transition probability from Deciduous forest (D) to non-forest within the reference area</t>
    <phoneticPr fontId="9"/>
  </si>
  <si>
    <r>
      <t>P</t>
    </r>
    <r>
      <rPr>
        <vertAlign val="subscript"/>
        <sz val="11"/>
        <rFont val="Arial"/>
        <family val="2"/>
      </rPr>
      <t>B</t>
    </r>
    <phoneticPr fontId="9"/>
  </si>
  <si>
    <t>Annual transition probability from Bamboo (B) to non-forest within the reference area</t>
    <phoneticPr fontId="9"/>
  </si>
  <si>
    <r>
      <t>P</t>
    </r>
    <r>
      <rPr>
        <vertAlign val="subscript"/>
        <sz val="11"/>
        <rFont val="Arial"/>
        <family val="2"/>
      </rPr>
      <t>M</t>
    </r>
    <phoneticPr fontId="9"/>
  </si>
  <si>
    <t>Annual transition probability from Mangrove (M) to non-forest within the reference area</t>
    <phoneticPr fontId="9"/>
  </si>
  <si>
    <r>
      <t>P</t>
    </r>
    <r>
      <rPr>
        <vertAlign val="subscript"/>
        <sz val="11"/>
        <rFont val="Arial"/>
        <family val="2"/>
      </rPr>
      <t>MR</t>
    </r>
    <phoneticPr fontId="9"/>
  </si>
  <si>
    <t>Annual transition probability from Rear Mangrove (MR) to non-forest within the reference area</t>
    <phoneticPr fontId="9"/>
  </si>
  <si>
    <r>
      <t>P</t>
    </r>
    <r>
      <rPr>
        <vertAlign val="subscript"/>
        <sz val="11"/>
        <rFont val="Arial"/>
        <family val="2"/>
      </rPr>
      <t>FF</t>
    </r>
    <phoneticPr fontId="9"/>
  </si>
  <si>
    <t>Annual transition probability from Flooded forest (FF) to non-forest within the reference area</t>
    <phoneticPr fontId="9"/>
  </si>
  <si>
    <r>
      <t>P</t>
    </r>
    <r>
      <rPr>
        <vertAlign val="subscript"/>
        <sz val="11"/>
        <rFont val="Arial"/>
        <family val="2"/>
      </rPr>
      <t>FR</t>
    </r>
    <phoneticPr fontId="9"/>
  </si>
  <si>
    <t>Annual transition probability from Forest regrowth (FR) to non-forest within the reference area</t>
    <phoneticPr fontId="9"/>
  </si>
  <si>
    <r>
      <t>P</t>
    </r>
    <r>
      <rPr>
        <vertAlign val="subscript"/>
        <sz val="11"/>
        <rFont val="Arial"/>
        <family val="2"/>
      </rPr>
      <t>TP</t>
    </r>
    <phoneticPr fontId="9"/>
  </si>
  <si>
    <t>Annual transition probability from Tree plantation (TP) to non-forest within the reference area</t>
    <phoneticPr fontId="9"/>
  </si>
  <si>
    <r>
      <t>P</t>
    </r>
    <r>
      <rPr>
        <vertAlign val="subscript"/>
        <sz val="11"/>
        <rFont val="Arial"/>
        <family val="2"/>
      </rPr>
      <t>PP</t>
    </r>
    <phoneticPr fontId="9"/>
  </si>
  <si>
    <t>Annual transition probability from Pine plantation (PP) to non-forest within the reference area</t>
    <phoneticPr fontId="9"/>
  </si>
  <si>
    <r>
      <t>P</t>
    </r>
    <r>
      <rPr>
        <vertAlign val="subscript"/>
        <sz val="11"/>
        <rFont val="Arial"/>
        <family val="2"/>
      </rPr>
      <t>d E</t>
    </r>
    <phoneticPr fontId="9"/>
  </si>
  <si>
    <t>Annual transition probability from Evergreen forest (E) to non-forest within the displacement belt</t>
    <phoneticPr fontId="9"/>
  </si>
  <si>
    <t>Cambodia's official forest maps</t>
    <phoneticPr fontId="9"/>
  </si>
  <si>
    <r>
      <t>P</t>
    </r>
    <r>
      <rPr>
        <vertAlign val="subscript"/>
        <sz val="11"/>
        <rFont val="Arial"/>
        <family val="2"/>
      </rPr>
      <t>d SE</t>
    </r>
    <phoneticPr fontId="9"/>
  </si>
  <si>
    <t>Annual transition probability from Semi-evergreen forest (SE) to non-forest within the displacement belt</t>
    <phoneticPr fontId="9"/>
  </si>
  <si>
    <r>
      <t>P</t>
    </r>
    <r>
      <rPr>
        <vertAlign val="subscript"/>
        <sz val="11"/>
        <rFont val="Arial"/>
        <family val="2"/>
      </rPr>
      <t>d P</t>
    </r>
    <phoneticPr fontId="9"/>
  </si>
  <si>
    <t>Annual transition probability from Pine forest (P) to non-forest within the displacement belt</t>
    <phoneticPr fontId="9"/>
  </si>
  <si>
    <r>
      <t>P</t>
    </r>
    <r>
      <rPr>
        <vertAlign val="subscript"/>
        <sz val="11"/>
        <rFont val="Arial"/>
        <family val="2"/>
      </rPr>
      <t>d D</t>
    </r>
    <phoneticPr fontId="9"/>
  </si>
  <si>
    <t>Annual transition probability from Deciduous forest (D) to non-forest within the displacement belt</t>
    <phoneticPr fontId="9"/>
  </si>
  <si>
    <r>
      <t>P</t>
    </r>
    <r>
      <rPr>
        <vertAlign val="subscript"/>
        <sz val="11"/>
        <rFont val="Arial"/>
        <family val="2"/>
      </rPr>
      <t>d B</t>
    </r>
    <phoneticPr fontId="9"/>
  </si>
  <si>
    <t>Annual transition probability from Bamboo (B) to non-forest within the displacement belt</t>
    <phoneticPr fontId="9"/>
  </si>
  <si>
    <r>
      <t>P</t>
    </r>
    <r>
      <rPr>
        <vertAlign val="subscript"/>
        <sz val="11"/>
        <rFont val="Arial"/>
        <family val="2"/>
      </rPr>
      <t>d M</t>
    </r>
    <phoneticPr fontId="9"/>
  </si>
  <si>
    <t>Annual transition probability from Mangrove (M) to non-forest within the displacement belt</t>
    <phoneticPr fontId="9"/>
  </si>
  <si>
    <r>
      <t>P</t>
    </r>
    <r>
      <rPr>
        <vertAlign val="subscript"/>
        <sz val="11"/>
        <rFont val="Arial"/>
        <family val="2"/>
      </rPr>
      <t>d MR</t>
    </r>
    <phoneticPr fontId="9"/>
  </si>
  <si>
    <t>Annual transition probability from Rear Mangrove (MR) to non-forest within the displacement belt</t>
    <phoneticPr fontId="9"/>
  </si>
  <si>
    <r>
      <t>P</t>
    </r>
    <r>
      <rPr>
        <vertAlign val="subscript"/>
        <sz val="11"/>
        <rFont val="Arial"/>
        <family val="2"/>
      </rPr>
      <t>d FF</t>
    </r>
    <phoneticPr fontId="9"/>
  </si>
  <si>
    <t>Annual transition probability from Flooded forest (FF) to non-forest within the displacement belt</t>
    <phoneticPr fontId="9"/>
  </si>
  <si>
    <r>
      <t>P</t>
    </r>
    <r>
      <rPr>
        <vertAlign val="subscript"/>
        <sz val="11"/>
        <rFont val="Arial"/>
        <family val="2"/>
      </rPr>
      <t>d FR</t>
    </r>
    <phoneticPr fontId="9"/>
  </si>
  <si>
    <t>Annual transition probability from Forest regrowth (FR) to non-forest within the displacement belt</t>
    <phoneticPr fontId="9"/>
  </si>
  <si>
    <r>
      <t>P</t>
    </r>
    <r>
      <rPr>
        <vertAlign val="subscript"/>
        <sz val="11"/>
        <rFont val="Arial"/>
        <family val="2"/>
      </rPr>
      <t>d TP</t>
    </r>
    <phoneticPr fontId="9"/>
  </si>
  <si>
    <t>Annual transition probability from Tree plantation (TP) to non-forest within the displacement belt</t>
    <phoneticPr fontId="9"/>
  </si>
  <si>
    <r>
      <t>P</t>
    </r>
    <r>
      <rPr>
        <vertAlign val="subscript"/>
        <sz val="11"/>
        <rFont val="Arial"/>
        <family val="2"/>
      </rPr>
      <t>d PP</t>
    </r>
    <phoneticPr fontId="9"/>
  </si>
  <si>
    <t>Annual transition probability from Pine plantation (PP) to non-forest within the displacement belt</t>
    <phoneticPr fontId="9"/>
  </si>
  <si>
    <r>
      <t>EF</t>
    </r>
    <r>
      <rPr>
        <vertAlign val="subscript"/>
        <sz val="11"/>
        <rFont val="Arial"/>
        <family val="2"/>
      </rPr>
      <t>E</t>
    </r>
    <phoneticPr fontId="9"/>
  </si>
  <si>
    <t xml:space="preserve">Emission factor applicable for Evergreen forest (E) </t>
    <phoneticPr fontId="9"/>
  </si>
  <si>
    <r>
      <t>tC ha</t>
    </r>
    <r>
      <rPr>
        <vertAlign val="superscript"/>
        <sz val="11"/>
        <rFont val="Arial"/>
        <family val="2"/>
      </rPr>
      <t>-1</t>
    </r>
    <phoneticPr fontId="9"/>
  </si>
  <si>
    <r>
      <t>EF</t>
    </r>
    <r>
      <rPr>
        <vertAlign val="subscript"/>
        <sz val="11"/>
        <rFont val="Arial"/>
        <family val="2"/>
      </rPr>
      <t>SE</t>
    </r>
    <phoneticPr fontId="9"/>
  </si>
  <si>
    <t>Emission factor applicable for Semi-evergreen forest (SE)</t>
    <phoneticPr fontId="9"/>
  </si>
  <si>
    <r>
      <t>EF</t>
    </r>
    <r>
      <rPr>
        <vertAlign val="subscript"/>
        <sz val="11"/>
        <rFont val="Arial"/>
        <family val="2"/>
      </rPr>
      <t>P</t>
    </r>
    <phoneticPr fontId="9"/>
  </si>
  <si>
    <t>Emission factor applicable for Pine forest (P)</t>
    <phoneticPr fontId="9"/>
  </si>
  <si>
    <r>
      <t>EF</t>
    </r>
    <r>
      <rPr>
        <vertAlign val="subscript"/>
        <sz val="11"/>
        <rFont val="Arial"/>
        <family val="2"/>
      </rPr>
      <t>D</t>
    </r>
    <phoneticPr fontId="9"/>
  </si>
  <si>
    <t xml:space="preserve">Emission factor applicable for Deciduous forest (D) </t>
    <phoneticPr fontId="9"/>
  </si>
  <si>
    <r>
      <t>EF</t>
    </r>
    <r>
      <rPr>
        <vertAlign val="subscript"/>
        <sz val="11"/>
        <rFont val="Arial"/>
        <family val="2"/>
      </rPr>
      <t>B</t>
    </r>
    <phoneticPr fontId="9"/>
  </si>
  <si>
    <t>Emission factor applicable for Bamboo (B)</t>
    <phoneticPr fontId="9"/>
  </si>
  <si>
    <r>
      <t>EF</t>
    </r>
    <r>
      <rPr>
        <vertAlign val="subscript"/>
        <sz val="11"/>
        <rFont val="Arial"/>
        <family val="2"/>
      </rPr>
      <t>M</t>
    </r>
    <phoneticPr fontId="9"/>
  </si>
  <si>
    <t>Emission factor applicable for Mangrove (M)</t>
    <phoneticPr fontId="9"/>
  </si>
  <si>
    <r>
      <t>EF</t>
    </r>
    <r>
      <rPr>
        <vertAlign val="subscript"/>
        <sz val="11"/>
        <rFont val="Arial"/>
        <family val="2"/>
      </rPr>
      <t>MR</t>
    </r>
    <phoneticPr fontId="9"/>
  </si>
  <si>
    <t>Emission factor applicable for Rear Mangrove (MR)</t>
    <phoneticPr fontId="9"/>
  </si>
  <si>
    <r>
      <t>EF</t>
    </r>
    <r>
      <rPr>
        <vertAlign val="subscript"/>
        <sz val="11"/>
        <rFont val="Arial"/>
        <family val="2"/>
      </rPr>
      <t>FF</t>
    </r>
    <phoneticPr fontId="9"/>
  </si>
  <si>
    <t xml:space="preserve">Emission factor applicable for Flooded forest (FF) </t>
    <phoneticPr fontId="9"/>
  </si>
  <si>
    <r>
      <t>EF</t>
    </r>
    <r>
      <rPr>
        <vertAlign val="subscript"/>
        <sz val="11"/>
        <rFont val="Arial"/>
        <family val="2"/>
      </rPr>
      <t>FR</t>
    </r>
    <phoneticPr fontId="9"/>
  </si>
  <si>
    <t xml:space="preserve">Emission factor applicable for Forest regrowth (FR) </t>
    <phoneticPr fontId="9"/>
  </si>
  <si>
    <r>
      <t>EF</t>
    </r>
    <r>
      <rPr>
        <vertAlign val="subscript"/>
        <sz val="11"/>
        <rFont val="Arial"/>
        <family val="2"/>
      </rPr>
      <t>TP</t>
    </r>
    <phoneticPr fontId="9"/>
  </si>
  <si>
    <t xml:space="preserve">Emission factor applicable for Tree plantation (TP) </t>
    <phoneticPr fontId="9"/>
  </si>
  <si>
    <r>
      <t>EF</t>
    </r>
    <r>
      <rPr>
        <vertAlign val="subscript"/>
        <sz val="11"/>
        <rFont val="Arial"/>
        <family val="2"/>
      </rPr>
      <t>PP</t>
    </r>
    <phoneticPr fontId="9"/>
  </si>
  <si>
    <t xml:space="preserve">Emission factor applicable for Pine plantation (PP) </t>
    <phoneticPr fontId="9"/>
  </si>
  <si>
    <r>
      <t>NCV</t>
    </r>
    <r>
      <rPr>
        <vertAlign val="subscript"/>
        <sz val="11"/>
        <rFont val="Arial"/>
        <family val="2"/>
      </rPr>
      <t>f</t>
    </r>
    <phoneticPr fontId="9"/>
  </si>
  <si>
    <r>
      <t xml:space="preserve">Net calorific value of fuel </t>
    </r>
    <r>
      <rPr>
        <i/>
        <sz val="11"/>
        <rFont val="Arial"/>
        <family val="2"/>
      </rPr>
      <t>f</t>
    </r>
    <phoneticPr fontId="9"/>
  </si>
  <si>
    <r>
      <t>GJ kg</t>
    </r>
    <r>
      <rPr>
        <vertAlign val="superscript"/>
        <sz val="11"/>
        <rFont val="Arial"/>
        <family val="2"/>
      </rPr>
      <t>-1</t>
    </r>
    <phoneticPr fontId="9"/>
  </si>
  <si>
    <t>2006 IPCC Guidelines Tables 1.2</t>
    <phoneticPr fontId="9"/>
  </si>
  <si>
    <r>
      <t>EF</t>
    </r>
    <r>
      <rPr>
        <vertAlign val="subscript"/>
        <sz val="11"/>
        <rFont val="Arial"/>
        <family val="2"/>
      </rPr>
      <t>fuel f</t>
    </r>
    <phoneticPr fontId="9"/>
  </si>
  <si>
    <r>
      <t>CO</t>
    </r>
    <r>
      <rPr>
        <vertAlign val="subscript"/>
        <sz val="11"/>
        <rFont val="Arial"/>
        <family val="2"/>
      </rPr>
      <t>2</t>
    </r>
    <r>
      <rPr>
        <sz val="11"/>
        <rFont val="Arial"/>
        <family val="2"/>
      </rPr>
      <t xml:space="preserve"> emission factor of the fuel type </t>
    </r>
    <r>
      <rPr>
        <i/>
        <sz val="11"/>
        <rFont val="Arial"/>
        <family val="2"/>
      </rPr>
      <t>f</t>
    </r>
    <r>
      <rPr>
        <sz val="11"/>
        <rFont val="Arial"/>
        <family val="2"/>
      </rPr>
      <t xml:space="preserve"> combusted</t>
    </r>
    <phoneticPr fontId="9"/>
  </si>
  <si>
    <r>
      <t>tCO</t>
    </r>
    <r>
      <rPr>
        <vertAlign val="subscript"/>
        <sz val="11"/>
        <rFont val="Arial"/>
        <family val="2"/>
      </rPr>
      <t>2</t>
    </r>
    <r>
      <rPr>
        <sz val="11"/>
        <rFont val="Arial"/>
        <family val="2"/>
      </rPr>
      <t xml:space="preserve"> GJ</t>
    </r>
    <r>
      <rPr>
        <vertAlign val="superscript"/>
        <sz val="11"/>
        <rFont val="Arial"/>
        <family val="2"/>
      </rPr>
      <t>-1</t>
    </r>
    <phoneticPr fontId="9"/>
  </si>
  <si>
    <t>2006 IPCC Guidelines Tables 2.5 and 3.2.1</t>
    <phoneticPr fontId="9"/>
  </si>
  <si>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 to be credited</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</si>
  <si>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</si>
  <si>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during period </t>
    </r>
    <r>
      <rPr>
        <i/>
        <sz val="11"/>
        <rFont val="Arial"/>
        <family val="2"/>
      </rPr>
      <t>p</t>
    </r>
    <phoneticPr fontId="9"/>
  </si>
  <si>
    <r>
      <t>tCO</t>
    </r>
    <r>
      <rPr>
        <vertAlign val="subscript"/>
        <sz val="11"/>
        <color indexed="8"/>
        <rFont val="Arial"/>
        <family val="2"/>
      </rPr>
      <t>2</t>
    </r>
    <r>
      <rPr>
        <sz val="11"/>
        <color indexed="8"/>
        <rFont val="Arial"/>
        <family val="2"/>
      </rPr>
      <t>/p</t>
    </r>
    <phoneticPr fontId="9"/>
  </si>
  <si>
    <t>Year</t>
    <phoneticPr fontId="9"/>
  </si>
  <si>
    <r>
      <t>tCO</t>
    </r>
    <r>
      <rPr>
        <vertAlign val="subscript"/>
        <sz val="11"/>
        <color indexed="8"/>
        <rFont val="Arial"/>
        <family val="2"/>
      </rPr>
      <t>2</t>
    </r>
    <r>
      <rPr>
        <sz val="11"/>
        <color indexed="8"/>
        <rFont val="Arial"/>
        <family val="2"/>
      </rPr>
      <t>/y</t>
    </r>
    <phoneticPr fontId="9"/>
  </si>
  <si>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</si>
  <si>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</si>
  <si>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</si>
  <si>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</si>
  <si>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</si>
  <si>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</si>
  <si>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</si>
  <si>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Parameters</t>
    <phoneticPr fontId="9"/>
  </si>
  <si>
    <r>
      <t>A</t>
    </r>
    <r>
      <rPr>
        <vertAlign val="subscript"/>
        <sz val="11"/>
        <rFont val="Arial"/>
        <family val="2"/>
      </rPr>
      <t>i,y</t>
    </r>
    <phoneticPr fontId="9"/>
  </si>
  <si>
    <r>
      <t>ΔCS</t>
    </r>
    <r>
      <rPr>
        <vertAlign val="subscript"/>
        <sz val="11"/>
        <rFont val="Arial"/>
        <family val="2"/>
      </rPr>
      <t>ref y</t>
    </r>
    <phoneticPr fontId="9"/>
  </si>
  <si>
    <r>
      <t>RL</t>
    </r>
    <r>
      <rPr>
        <sz val="11"/>
        <rFont val="ＭＳ Ｐゴシック"/>
        <family val="3"/>
        <charset val="128"/>
      </rPr>
      <t>ｙ</t>
    </r>
    <phoneticPr fontId="9"/>
  </si>
  <si>
    <r>
      <t>d</t>
    </r>
    <r>
      <rPr>
        <vertAlign val="subscript"/>
        <sz val="11"/>
        <rFont val="Arial"/>
        <family val="2"/>
      </rPr>
      <t>0y</t>
    </r>
    <phoneticPr fontId="9"/>
  </si>
  <si>
    <t>Description of data</t>
    <phoneticPr fontId="9"/>
  </si>
  <si>
    <r>
      <t xml:space="preserve">Area of forest class </t>
    </r>
    <r>
      <rPr>
        <i/>
        <sz val="11"/>
        <rFont val="Arial"/>
        <family val="2"/>
      </rPr>
      <t>i</t>
    </r>
    <r>
      <rPr>
        <sz val="11"/>
        <rFont val="Arial"/>
        <family val="2"/>
      </rPr>
      <t xml:space="preserve"> in the project area in year </t>
    </r>
    <r>
      <rPr>
        <i/>
        <sz val="11"/>
        <rFont val="Arial"/>
        <family val="2"/>
      </rPr>
      <t>y</t>
    </r>
    <phoneticPr fontId="9"/>
  </si>
  <si>
    <r>
      <t xml:space="preserve">Projected carbon stock change in the project area in year </t>
    </r>
    <r>
      <rPr>
        <i/>
        <sz val="11"/>
        <rFont val="Arial"/>
        <family val="2"/>
      </rPr>
      <t>y</t>
    </r>
    <phoneticPr fontId="9"/>
  </si>
  <si>
    <r>
      <rPr>
        <sz val="11"/>
        <rFont val="Arial"/>
        <family val="2"/>
      </rPr>
      <t>Project reference level in year</t>
    </r>
    <r>
      <rPr>
        <i/>
        <sz val="11"/>
        <rFont val="Arial"/>
        <family val="2"/>
      </rPr>
      <t xml:space="preserve"> y</t>
    </r>
    <phoneticPr fontId="9"/>
  </si>
  <si>
    <r>
      <rPr>
        <sz val="11"/>
        <rFont val="Arial"/>
        <family val="2"/>
      </rPr>
      <t>number of operating days in year</t>
    </r>
    <r>
      <rPr>
        <i/>
        <sz val="11"/>
        <rFont val="Arial"/>
        <family val="2"/>
      </rPr>
      <t xml:space="preserve"> y</t>
    </r>
    <phoneticPr fontId="9"/>
  </si>
  <si>
    <r>
      <rPr>
        <sz val="11"/>
        <rFont val="Arial"/>
        <family val="2"/>
      </rPr>
      <t>number of  days in year</t>
    </r>
    <r>
      <rPr>
        <i/>
        <sz val="11"/>
        <rFont val="Arial"/>
        <family val="2"/>
      </rPr>
      <t xml:space="preserve"> y</t>
    </r>
    <phoneticPr fontId="9"/>
  </si>
  <si>
    <t>Units</t>
    <phoneticPr fontId="9"/>
  </si>
  <si>
    <t>tC</t>
    <phoneticPr fontId="9"/>
  </si>
  <si>
    <r>
      <t>tCO</t>
    </r>
    <r>
      <rPr>
        <vertAlign val="subscript"/>
        <sz val="11"/>
        <rFont val="Arial"/>
        <family val="2"/>
      </rPr>
      <t>2</t>
    </r>
    <r>
      <rPr>
        <sz val="11"/>
        <rFont val="Arial"/>
        <family val="2"/>
      </rPr>
      <t xml:space="preserve"> y</t>
    </r>
    <r>
      <rPr>
        <vertAlign val="superscript"/>
        <sz val="11"/>
        <rFont val="Arial"/>
        <family val="2"/>
      </rPr>
      <t>-1</t>
    </r>
    <phoneticPr fontId="9"/>
  </si>
  <si>
    <t>days</t>
    <phoneticPr fontId="9"/>
  </si>
  <si>
    <r>
      <t xml:space="preserve">Forest class </t>
    </r>
    <r>
      <rPr>
        <b/>
        <i/>
        <sz val="11"/>
        <color theme="0"/>
        <rFont val="Arial"/>
        <family val="2"/>
      </rPr>
      <t>i</t>
    </r>
    <phoneticPr fontId="9"/>
  </si>
  <si>
    <t>Evergreen forest</t>
  </si>
  <si>
    <t>Semi-evergreen forest</t>
  </si>
  <si>
    <t>Pine forest</t>
  </si>
  <si>
    <t>Deciduous forest</t>
  </si>
  <si>
    <t>Bamboo</t>
  </si>
  <si>
    <t>Mangrove</t>
  </si>
  <si>
    <t>Rear Mangrove</t>
  </si>
  <si>
    <t xml:space="preserve">Flooded forest </t>
  </si>
  <si>
    <t xml:space="preserve">Forest regrowth </t>
  </si>
  <si>
    <t>Tree plantation</t>
  </si>
  <si>
    <t>Pine plantation</t>
  </si>
  <si>
    <t>non forest</t>
    <phoneticPr fontId="9"/>
  </si>
  <si>
    <t>Inception of the project</t>
    <phoneticPr fontId="9"/>
  </si>
  <si>
    <t>Total</t>
    <phoneticPr fontId="9"/>
  </si>
  <si>
    <t>Emission from carbon stock change in the project area</t>
    <phoneticPr fontId="9"/>
  </si>
  <si>
    <r>
      <t>ΔCS</t>
    </r>
    <r>
      <rPr>
        <vertAlign val="subscript"/>
        <sz val="11"/>
        <rFont val="Arial"/>
        <family val="2"/>
      </rPr>
      <t>pj,i,y</t>
    </r>
    <phoneticPr fontId="9"/>
  </si>
  <si>
    <r>
      <t>ΔCS</t>
    </r>
    <r>
      <rPr>
        <vertAlign val="subscript"/>
        <sz val="11"/>
        <rFont val="Arial"/>
        <family val="2"/>
      </rPr>
      <t>pj y</t>
    </r>
    <phoneticPr fontId="9"/>
  </si>
  <si>
    <r>
      <t xml:space="preserve">Area converted from forest class </t>
    </r>
    <r>
      <rPr>
        <i/>
        <sz val="11"/>
        <rFont val="Arial"/>
        <family val="2"/>
      </rPr>
      <t xml:space="preserve">i </t>
    </r>
    <r>
      <rPr>
        <sz val="11"/>
        <rFont val="Arial"/>
        <family val="2"/>
      </rPr>
      <t xml:space="preserve">to non-forest in the project area in year </t>
    </r>
    <r>
      <rPr>
        <i/>
        <sz val="11"/>
        <rFont val="Arial"/>
        <family val="2"/>
      </rPr>
      <t>y</t>
    </r>
    <phoneticPr fontId="9"/>
  </si>
  <si>
    <r>
      <t xml:space="preserve">Carbon stock change in area converted from forest class </t>
    </r>
    <r>
      <rPr>
        <i/>
        <sz val="11"/>
        <rFont val="Arial"/>
        <family val="2"/>
      </rPr>
      <t xml:space="preserve">i </t>
    </r>
    <r>
      <rPr>
        <sz val="11"/>
        <rFont val="Arial"/>
        <family val="2"/>
      </rPr>
      <t xml:space="preserve">to non-forest in the project area in year </t>
    </r>
    <r>
      <rPr>
        <i/>
        <sz val="11"/>
        <rFont val="Arial"/>
        <family val="2"/>
      </rPr>
      <t>y</t>
    </r>
    <phoneticPr fontId="9"/>
  </si>
  <si>
    <r>
      <t xml:space="preserve">Carbon stock change in the project area in year </t>
    </r>
    <r>
      <rPr>
        <i/>
        <sz val="11"/>
        <rFont val="Arial"/>
        <family val="2"/>
      </rPr>
      <t>y</t>
    </r>
    <phoneticPr fontId="9"/>
  </si>
  <si>
    <t>tC</t>
  </si>
  <si>
    <t>total</t>
    <phoneticPr fontId="9"/>
  </si>
  <si>
    <t>Emissions from fossil fuel combustion (Direct and Indirect methods)</t>
    <phoneticPr fontId="9"/>
  </si>
  <si>
    <r>
      <t>CO</t>
    </r>
    <r>
      <rPr>
        <vertAlign val="subscript"/>
        <sz val="11"/>
        <rFont val="Arial"/>
        <family val="2"/>
      </rPr>
      <t>2</t>
    </r>
    <r>
      <rPr>
        <sz val="11"/>
        <rFont val="Arial"/>
        <family val="2"/>
      </rPr>
      <t xml:space="preserve"> emission factor of the fuel type </t>
    </r>
    <r>
      <rPr>
        <i/>
        <sz val="11"/>
        <rFont val="Arial"/>
        <family val="2"/>
      </rPr>
      <t xml:space="preserve">f </t>
    </r>
    <r>
      <rPr>
        <sz val="11"/>
        <rFont val="Arial"/>
        <family val="2"/>
      </rPr>
      <t>combusted</t>
    </r>
    <phoneticPr fontId="9"/>
  </si>
  <si>
    <r>
      <t xml:space="preserve">Fuel type </t>
    </r>
    <r>
      <rPr>
        <b/>
        <i/>
        <sz val="11"/>
        <color theme="0"/>
        <rFont val="Arial"/>
        <family val="2"/>
      </rPr>
      <t>f</t>
    </r>
    <phoneticPr fontId="9"/>
  </si>
  <si>
    <t>Gas/diesel oil</t>
    <phoneticPr fontId="9"/>
  </si>
  <si>
    <t>Motor gasoline</t>
    <phoneticPr fontId="9"/>
  </si>
  <si>
    <t>Crude oil</t>
    <phoneticPr fontId="9"/>
  </si>
  <si>
    <t>Value</t>
    <phoneticPr fontId="9"/>
  </si>
  <si>
    <t>Emissions from fossil fuel combustion (Direct method)</t>
    <phoneticPr fontId="9"/>
  </si>
  <si>
    <t xml:space="preserve">                                                                                   </t>
    <phoneticPr fontId="9"/>
  </si>
  <si>
    <r>
      <t>E</t>
    </r>
    <r>
      <rPr>
        <vertAlign val="subscript"/>
        <sz val="11"/>
        <rFont val="Arial"/>
        <family val="2"/>
      </rPr>
      <t>fuel f y</t>
    </r>
    <phoneticPr fontId="9"/>
  </si>
  <si>
    <r>
      <t>E</t>
    </r>
    <r>
      <rPr>
        <vertAlign val="subscript"/>
        <sz val="11"/>
        <rFont val="Arial"/>
        <family val="2"/>
      </rPr>
      <t>fuel y</t>
    </r>
    <r>
      <rPr>
        <sz val="11"/>
        <rFont val="Arial"/>
        <family val="2"/>
      </rPr>
      <t xml:space="preserve"> (direct)</t>
    </r>
    <phoneticPr fontId="9"/>
  </si>
  <si>
    <r>
      <t xml:space="preserve">Quantity of fuel type </t>
    </r>
    <r>
      <rPr>
        <i/>
        <sz val="11"/>
        <rFont val="Arial"/>
        <family val="2"/>
      </rPr>
      <t xml:space="preserve">f </t>
    </r>
    <r>
      <rPr>
        <sz val="11"/>
        <rFont val="Arial"/>
        <family val="2"/>
      </rPr>
      <t xml:space="preserve">consumed in year </t>
    </r>
    <r>
      <rPr>
        <i/>
        <sz val="11"/>
        <rFont val="Arial"/>
        <family val="2"/>
      </rPr>
      <t>y</t>
    </r>
    <phoneticPr fontId="9"/>
  </si>
  <si>
    <r>
      <t>CO</t>
    </r>
    <r>
      <rPr>
        <vertAlign val="subscript"/>
        <sz val="11"/>
        <rFont val="Arial"/>
        <family val="2"/>
      </rPr>
      <t>2</t>
    </r>
    <r>
      <rPr>
        <sz val="11"/>
        <rFont val="Arial"/>
        <family val="2"/>
      </rPr>
      <t xml:space="preserve"> emissions from combustion of fossil fuel type </t>
    </r>
    <r>
      <rPr>
        <i/>
        <sz val="11"/>
        <rFont val="Arial"/>
        <family val="2"/>
      </rPr>
      <t>f</t>
    </r>
    <r>
      <rPr>
        <sz val="11"/>
        <rFont val="Arial"/>
        <family val="2"/>
      </rPr>
      <t xml:space="preserve"> in year </t>
    </r>
    <r>
      <rPr>
        <i/>
        <sz val="11"/>
        <rFont val="Arial"/>
        <family val="2"/>
      </rPr>
      <t>y</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</si>
  <si>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r>
      <rPr>
        <sz val="11"/>
        <rFont val="Arial"/>
        <family val="2"/>
      </rPr>
      <t xml:space="preserve"> due to the project activities (direct method)</t>
    </r>
    <phoneticPr fontId="9"/>
  </si>
  <si>
    <r>
      <t>tCO</t>
    </r>
    <r>
      <rPr>
        <vertAlign val="subscript"/>
        <sz val="11"/>
        <rFont val="Arial"/>
        <family val="2"/>
      </rPr>
      <t>2</t>
    </r>
    <phoneticPr fontId="9"/>
  </si>
  <si>
    <t>Emissions from fossil fuel combustion (Indirect method)</t>
    <phoneticPr fontId="9"/>
  </si>
  <si>
    <t>Vehicle type</t>
    <phoneticPr fontId="9"/>
  </si>
  <si>
    <t>NA</t>
  </si>
  <si>
    <r>
      <t xml:space="preserve">Average specific energy consumption of vehicle or equipment type </t>
    </r>
    <r>
      <rPr>
        <i/>
        <sz val="11"/>
        <rFont val="Arial"/>
        <family val="2"/>
      </rPr>
      <t>j</t>
    </r>
    <r>
      <rPr>
        <sz val="11"/>
        <rFont val="Arial"/>
        <family val="2"/>
      </rPr>
      <t xml:space="preserve"> for fuel type </t>
    </r>
    <r>
      <rPr>
        <i/>
        <sz val="11"/>
        <rFont val="Arial"/>
        <family val="2"/>
      </rPr>
      <t>j</t>
    </r>
    <phoneticPr fontId="9"/>
  </si>
  <si>
    <r>
      <t>E</t>
    </r>
    <r>
      <rPr>
        <vertAlign val="subscript"/>
        <sz val="11"/>
        <rFont val="Arial"/>
        <family val="2"/>
      </rPr>
      <t>fuel j f y</t>
    </r>
    <phoneticPr fontId="9"/>
  </si>
  <si>
    <r>
      <t>E</t>
    </r>
    <r>
      <rPr>
        <vertAlign val="subscript"/>
        <sz val="11"/>
        <rFont val="Arial"/>
        <family val="2"/>
      </rPr>
      <t xml:space="preserve">fuel y </t>
    </r>
    <r>
      <rPr>
        <sz val="11"/>
        <rFont val="Arial"/>
        <family val="2"/>
      </rPr>
      <t>(indirect)</t>
    </r>
    <phoneticPr fontId="9"/>
  </si>
  <si>
    <r>
      <t xml:space="preserve">Number of vehicle or equipment type </t>
    </r>
    <r>
      <rPr>
        <i/>
        <sz val="11"/>
        <rFont val="Arial"/>
        <family val="2"/>
      </rPr>
      <t xml:space="preserve">j </t>
    </r>
    <r>
      <rPr>
        <sz val="11"/>
        <rFont val="Arial"/>
        <family val="2"/>
      </rPr>
      <t xml:space="preserve">using fuel type </t>
    </r>
    <r>
      <rPr>
        <i/>
        <sz val="11"/>
        <rFont val="Arial"/>
        <family val="2"/>
      </rPr>
      <t xml:space="preserve">f </t>
    </r>
    <r>
      <rPr>
        <sz val="11"/>
        <rFont val="Arial"/>
        <family val="2"/>
      </rPr>
      <t xml:space="preserve">in year </t>
    </r>
    <r>
      <rPr>
        <i/>
        <sz val="11"/>
        <rFont val="Arial"/>
        <family val="2"/>
      </rPr>
      <t>y</t>
    </r>
    <phoneticPr fontId="9"/>
  </si>
  <si>
    <r>
      <t xml:space="preserve">Total travel distance for vehicle type </t>
    </r>
    <r>
      <rPr>
        <i/>
        <sz val="11"/>
        <rFont val="Arial"/>
        <family val="2"/>
      </rPr>
      <t>j</t>
    </r>
    <r>
      <rPr>
        <sz val="11"/>
        <rFont val="Arial"/>
        <family val="2"/>
      </rPr>
      <t xml:space="preserve"> or use hours for equipment type </t>
    </r>
    <r>
      <rPr>
        <i/>
        <sz val="11"/>
        <rFont val="Arial"/>
        <family val="2"/>
      </rPr>
      <t>j</t>
    </r>
    <r>
      <rPr>
        <sz val="11"/>
        <rFont val="Arial"/>
        <family val="2"/>
      </rPr>
      <t xml:space="preserve"> using fuel type </t>
    </r>
    <r>
      <rPr>
        <i/>
        <sz val="11"/>
        <rFont val="Arial"/>
        <family val="2"/>
      </rPr>
      <t xml:space="preserve">f </t>
    </r>
    <r>
      <rPr>
        <sz val="11"/>
        <rFont val="Arial"/>
        <family val="2"/>
      </rPr>
      <t xml:space="preserve">in year </t>
    </r>
    <r>
      <rPr>
        <i/>
        <sz val="11"/>
        <rFont val="Arial"/>
        <family val="2"/>
      </rPr>
      <t>y</t>
    </r>
    <phoneticPr fontId="9"/>
  </si>
  <si>
    <r>
      <t>CO</t>
    </r>
    <r>
      <rPr>
        <vertAlign val="subscript"/>
        <sz val="11"/>
        <rFont val="Arial"/>
        <family val="2"/>
      </rPr>
      <t>2</t>
    </r>
    <r>
      <rPr>
        <sz val="11"/>
        <rFont val="Arial"/>
        <family val="2"/>
      </rPr>
      <t xml:space="preserve"> emissions from fossil fuel combustion in vehicle </t>
    </r>
    <r>
      <rPr>
        <strike/>
        <sz val="11"/>
        <rFont val="Arial"/>
        <family val="2"/>
      </rPr>
      <t>/</t>
    </r>
    <r>
      <rPr>
        <sz val="11"/>
        <rFont val="Arial"/>
        <family val="2"/>
      </rPr>
      <t xml:space="preserve">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</si>
  <si>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r>
      <rPr>
        <sz val="11"/>
        <rFont val="Arial"/>
        <family val="2"/>
      </rPr>
      <t xml:space="preserve"> due to the project activities (indirect method)</t>
    </r>
    <phoneticPr fontId="9"/>
  </si>
  <si>
    <r>
      <t>km or hour unit</t>
    </r>
    <r>
      <rPr>
        <vertAlign val="superscript"/>
        <sz val="11"/>
        <rFont val="Arial"/>
        <family val="2"/>
      </rPr>
      <t>-1</t>
    </r>
    <phoneticPr fontId="9"/>
  </si>
  <si>
    <t>Emission from fertilizer application</t>
    <phoneticPr fontId="9"/>
  </si>
  <si>
    <r>
      <t xml:space="preserve">Cropland type </t>
    </r>
    <r>
      <rPr>
        <b/>
        <i/>
        <sz val="11"/>
        <color theme="0"/>
        <rFont val="Arial"/>
        <family val="2"/>
      </rPr>
      <t>c</t>
    </r>
    <r>
      <rPr>
        <b/>
        <sz val="11"/>
        <color theme="0"/>
        <rFont val="Arial"/>
        <family val="2"/>
      </rPr>
      <t xml:space="preserve"> / N-fixing crop </t>
    </r>
    <r>
      <rPr>
        <b/>
        <i/>
        <sz val="11"/>
        <color theme="0"/>
        <rFont val="Arial"/>
        <family val="2"/>
      </rPr>
      <t>T</t>
    </r>
    <phoneticPr fontId="9"/>
  </si>
  <si>
    <t>General (non-paddy)</t>
    <phoneticPr fontId="9"/>
  </si>
  <si>
    <t>Rice paddy</t>
    <phoneticPr fontId="9"/>
  </si>
  <si>
    <r>
      <t>F</t>
    </r>
    <r>
      <rPr>
        <vertAlign val="subscript"/>
        <sz val="11"/>
        <rFont val="Arial"/>
        <family val="2"/>
      </rPr>
      <t>SN c y</t>
    </r>
    <phoneticPr fontId="9"/>
  </si>
  <si>
    <r>
      <t>F</t>
    </r>
    <r>
      <rPr>
        <vertAlign val="subscript"/>
        <sz val="11"/>
        <rFont val="Arial"/>
        <family val="2"/>
      </rPr>
      <t>ON c y</t>
    </r>
    <phoneticPr fontId="9"/>
  </si>
  <si>
    <r>
      <t>F</t>
    </r>
    <r>
      <rPr>
        <vertAlign val="subscript"/>
        <sz val="11"/>
        <rFont val="Arial"/>
        <family val="2"/>
      </rPr>
      <t>CR c y</t>
    </r>
    <phoneticPr fontId="9"/>
  </si>
  <si>
    <r>
      <t>E</t>
    </r>
    <r>
      <rPr>
        <vertAlign val="subscript"/>
        <sz val="11"/>
        <rFont val="Arial"/>
        <family val="2"/>
      </rPr>
      <t>direct-N y</t>
    </r>
    <phoneticPr fontId="9"/>
  </si>
  <si>
    <r>
      <t>E</t>
    </r>
    <r>
      <rPr>
        <vertAlign val="subscript"/>
        <sz val="11"/>
        <rFont val="Arial"/>
        <family val="2"/>
      </rPr>
      <t>indirect-N y</t>
    </r>
    <phoneticPr fontId="9"/>
  </si>
  <si>
    <r>
      <t>E</t>
    </r>
    <r>
      <rPr>
        <vertAlign val="subscript"/>
        <sz val="11"/>
        <rFont val="Arial"/>
        <family val="2"/>
      </rPr>
      <t>liming y</t>
    </r>
    <phoneticPr fontId="9"/>
  </si>
  <si>
    <r>
      <t>E</t>
    </r>
    <r>
      <rPr>
        <vertAlign val="subscript"/>
        <sz val="11"/>
        <rFont val="Arial"/>
        <family val="2"/>
      </rPr>
      <t>urea y</t>
    </r>
    <phoneticPr fontId="9"/>
  </si>
  <si>
    <r>
      <t>E</t>
    </r>
    <r>
      <rPr>
        <vertAlign val="subscript"/>
        <sz val="11"/>
        <rFont val="Arial"/>
        <family val="2"/>
      </rPr>
      <t>fertilizer y</t>
    </r>
    <phoneticPr fontId="9"/>
  </si>
  <si>
    <r>
      <t xml:space="preserve">Mass of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</si>
  <si>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Harvested annual dry matter yield for N-fixing crop </t>
    </r>
    <r>
      <rPr>
        <i/>
        <sz val="11"/>
        <rFont val="Arial"/>
        <family val="2"/>
      </rPr>
      <t xml:space="preserve">T </t>
    </r>
    <r>
      <rPr>
        <sz val="11"/>
        <rFont val="Arial"/>
        <family val="2"/>
      </rPr>
      <t xml:space="preserve">per unit area,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</si>
  <si>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</si>
  <si>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organic fertilizer made from materials sourced from outside the project area and the activity area and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</si>
  <si>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crop residues (above-ground and below-ground) in N-fixing crops, introduced for implementation of the project activities in cropland type c in the project area and the activity area and returned to soils, in year </t>
    </r>
    <r>
      <rPr>
        <i/>
        <sz val="11"/>
        <rFont val="Arial"/>
        <family val="2"/>
      </rPr>
      <t>y</t>
    </r>
    <phoneticPr fontId="9"/>
  </si>
  <si>
    <r>
      <t>Direct N</t>
    </r>
    <r>
      <rPr>
        <vertAlign val="subscript"/>
        <sz val="11"/>
        <rFont val="Arial"/>
        <family val="2"/>
      </rPr>
      <t>2</t>
    </r>
    <r>
      <rPr>
        <sz val="11"/>
        <rFont val="Arial"/>
        <family val="2"/>
      </rPr>
      <t xml:space="preserve">O emissions as a result of nitrogen application within the project area and the activity area for implementation of the project activities in year </t>
    </r>
    <r>
      <rPr>
        <i/>
        <sz val="11"/>
        <rFont val="Arial"/>
        <family val="2"/>
      </rPr>
      <t>y</t>
    </r>
    <phoneticPr fontId="9"/>
  </si>
  <si>
    <r>
      <t>Indirect N</t>
    </r>
    <r>
      <rPr>
        <vertAlign val="subscript"/>
        <sz val="11"/>
        <rFont val="Arial"/>
        <family val="2"/>
      </rPr>
      <t>2</t>
    </r>
    <r>
      <rPr>
        <sz val="11"/>
        <rFont val="Arial"/>
        <family val="2"/>
      </rPr>
      <t xml:space="preserve">O emissions as a result of nitrogen application within the project area and the activity area for implementation of the project activities in year </t>
    </r>
    <r>
      <rPr>
        <i/>
        <sz val="11"/>
        <rFont val="Arial"/>
        <family val="2"/>
      </rPr>
      <t>y</t>
    </r>
    <phoneticPr fontId="9"/>
  </si>
  <si>
    <r>
      <t>CO</t>
    </r>
    <r>
      <rPr>
        <vertAlign val="subscript"/>
        <sz val="11"/>
        <rFont val="Arial"/>
        <family val="2"/>
      </rPr>
      <t>2</t>
    </r>
    <r>
      <rPr>
        <sz val="11"/>
        <rFont val="Arial"/>
        <family val="2"/>
      </rPr>
      <t xml:space="preserve"> emissions as a result of adding liming materials within the project area and the activity area for implementation of the project activities in year </t>
    </r>
    <r>
      <rPr>
        <i/>
        <sz val="11"/>
        <rFont val="Arial"/>
        <family val="2"/>
      </rPr>
      <t>y</t>
    </r>
    <phoneticPr fontId="9"/>
  </si>
  <si>
    <r>
      <t>CO</t>
    </r>
    <r>
      <rPr>
        <vertAlign val="subscript"/>
        <sz val="11"/>
        <rFont val="Arial"/>
        <family val="2"/>
      </rPr>
      <t>2</t>
    </r>
    <r>
      <rPr>
        <sz val="11"/>
        <rFont val="Arial"/>
        <family val="2"/>
      </rPr>
      <t xml:space="preserve"> emissions as a result of urea fertilization application within the project area and the activity area for implementation of the project activities in year </t>
    </r>
    <r>
      <rPr>
        <i/>
        <sz val="11"/>
        <rFont val="Arial"/>
        <family val="2"/>
      </rPr>
      <t>y</t>
    </r>
    <phoneticPr fontId="9"/>
  </si>
  <si>
    <r>
      <t xml:space="preserve">GHG emissions from fertilizer application within the project area and the activity area for implementation of the project activities in year </t>
    </r>
    <r>
      <rPr>
        <i/>
        <sz val="11"/>
        <rFont val="Arial"/>
        <family val="2"/>
      </rPr>
      <t>y</t>
    </r>
    <phoneticPr fontId="9"/>
  </si>
  <si>
    <t>tN</t>
    <phoneticPr fontId="9"/>
  </si>
  <si>
    <r>
      <t>tCO</t>
    </r>
    <r>
      <rPr>
        <vertAlign val="subscript"/>
        <sz val="11"/>
        <rFont val="Arial"/>
        <family val="2"/>
      </rPr>
      <t>2</t>
    </r>
    <r>
      <rPr>
        <sz val="11"/>
        <rFont val="Arial"/>
        <family val="2"/>
      </rPr>
      <t>-eq</t>
    </r>
    <phoneticPr fontId="9"/>
  </si>
  <si>
    <r>
      <t xml:space="preserve">Cropland type </t>
    </r>
    <r>
      <rPr>
        <b/>
        <i/>
        <sz val="11"/>
        <color theme="0"/>
        <rFont val="Arial"/>
        <family val="2"/>
      </rPr>
      <t>c</t>
    </r>
    <phoneticPr fontId="9"/>
  </si>
  <si>
    <t>NA</t>
    <phoneticPr fontId="9"/>
  </si>
  <si>
    <r>
      <t xml:space="preserve">N-fixing crop </t>
    </r>
    <r>
      <rPr>
        <b/>
        <i/>
        <sz val="11"/>
        <color theme="0"/>
        <rFont val="Arial"/>
        <family val="2"/>
      </rPr>
      <t>T</t>
    </r>
    <phoneticPr fontId="9"/>
  </si>
  <si>
    <t>Displaced emission</t>
    <phoneticPr fontId="9"/>
  </si>
  <si>
    <r>
      <t>A</t>
    </r>
    <r>
      <rPr>
        <vertAlign val="subscript"/>
        <sz val="11"/>
        <rFont val="Arial"/>
        <family val="2"/>
      </rPr>
      <t>d i y</t>
    </r>
    <phoneticPr fontId="9"/>
  </si>
  <si>
    <r>
      <t>ΔCS</t>
    </r>
    <r>
      <rPr>
        <vertAlign val="subscript"/>
        <sz val="11"/>
        <rFont val="Arial"/>
        <family val="2"/>
      </rPr>
      <t>d y</t>
    </r>
    <phoneticPr fontId="9"/>
  </si>
  <si>
    <r>
      <t>ΔCS</t>
    </r>
    <r>
      <rPr>
        <vertAlign val="subscript"/>
        <sz val="11"/>
        <rFont val="Arial"/>
        <family val="2"/>
      </rPr>
      <t>d pj y</t>
    </r>
    <phoneticPr fontId="9"/>
  </si>
  <si>
    <r>
      <t>DR</t>
    </r>
    <r>
      <rPr>
        <vertAlign val="subscript"/>
        <sz val="11"/>
        <rFont val="Arial"/>
        <family val="2"/>
      </rPr>
      <t>y</t>
    </r>
    <phoneticPr fontId="9"/>
  </si>
  <si>
    <r>
      <t>DP</t>
    </r>
    <r>
      <rPr>
        <vertAlign val="subscript"/>
        <sz val="11"/>
        <rFont val="Arial"/>
        <family val="2"/>
      </rPr>
      <t>y</t>
    </r>
    <phoneticPr fontId="9"/>
  </si>
  <si>
    <r>
      <t>DE</t>
    </r>
    <r>
      <rPr>
        <vertAlign val="subscript"/>
        <sz val="11"/>
        <rFont val="Arial"/>
        <family val="2"/>
      </rPr>
      <t>y</t>
    </r>
    <phoneticPr fontId="9"/>
  </si>
  <si>
    <r>
      <t xml:space="preserve">Area of forest class </t>
    </r>
    <r>
      <rPr>
        <i/>
        <sz val="11"/>
        <rFont val="Arial"/>
        <family val="2"/>
      </rPr>
      <t>i</t>
    </r>
    <r>
      <rPr>
        <sz val="11"/>
        <rFont val="Arial"/>
        <family val="2"/>
      </rPr>
      <t xml:space="preserve"> in the displacement belt in year </t>
    </r>
    <r>
      <rPr>
        <i/>
        <sz val="11"/>
        <rFont val="Arial"/>
        <family val="2"/>
      </rPr>
      <t>y</t>
    </r>
    <phoneticPr fontId="9"/>
  </si>
  <si>
    <r>
      <t xml:space="preserve">Projected carbon stock change in the displacement belt in year </t>
    </r>
    <r>
      <rPr>
        <i/>
        <sz val="11"/>
        <rFont val="Arial"/>
        <family val="2"/>
      </rPr>
      <t>y</t>
    </r>
    <phoneticPr fontId="9"/>
  </si>
  <si>
    <r>
      <t xml:space="preserve">Area converted from forest class </t>
    </r>
    <r>
      <rPr>
        <i/>
        <sz val="11"/>
        <rFont val="Arial"/>
        <family val="2"/>
      </rPr>
      <t>i</t>
    </r>
    <r>
      <rPr>
        <sz val="11"/>
        <rFont val="Arial"/>
        <family val="2"/>
      </rPr>
      <t xml:space="preserve"> to non-forest in the displacement belt in year </t>
    </r>
    <r>
      <rPr>
        <i/>
        <sz val="11"/>
        <rFont val="Arial"/>
        <family val="2"/>
      </rPr>
      <t>y</t>
    </r>
    <phoneticPr fontId="9"/>
  </si>
  <si>
    <r>
      <t xml:space="preserve">Actual carbon stock change in the displacement belt in year </t>
    </r>
    <r>
      <rPr>
        <i/>
        <sz val="11"/>
        <rFont val="Arial"/>
        <family val="2"/>
      </rPr>
      <t>y</t>
    </r>
    <phoneticPr fontId="9"/>
  </si>
  <si>
    <r>
      <t xml:space="preserve">Reference emissions from the displacement belt in year </t>
    </r>
    <r>
      <rPr>
        <i/>
        <sz val="11"/>
        <rFont val="Arial"/>
        <family val="2"/>
      </rPr>
      <t>y</t>
    </r>
    <phoneticPr fontId="9"/>
  </si>
  <si>
    <r>
      <t xml:space="preserve">Project emissions </t>
    </r>
    <r>
      <rPr>
        <strike/>
        <sz val="11"/>
        <rFont val="Arial"/>
        <family val="2"/>
      </rPr>
      <t xml:space="preserve"> </t>
    </r>
    <r>
      <rPr>
        <sz val="11"/>
        <rFont val="Arial"/>
        <family val="2"/>
      </rPr>
      <t xml:space="preserve">from the displacement belt in year </t>
    </r>
    <r>
      <rPr>
        <i/>
        <sz val="11"/>
        <rFont val="Arial"/>
        <family val="2"/>
      </rPr>
      <t>y</t>
    </r>
    <phoneticPr fontId="9"/>
  </si>
  <si>
    <r>
      <t xml:space="preserve">Displaced emissions to the displacement belt in year </t>
    </r>
    <r>
      <rPr>
        <i/>
        <sz val="11"/>
        <rFont val="Arial"/>
        <family val="2"/>
      </rPr>
      <t>y</t>
    </r>
    <phoneticPr fontId="9"/>
  </si>
  <si>
    <t>Total of Project net emissions</t>
    <phoneticPr fontId="9"/>
  </si>
  <si>
    <r>
      <t>PE</t>
    </r>
    <r>
      <rPr>
        <vertAlign val="subscript"/>
        <sz val="11"/>
        <rFont val="Arial"/>
        <family val="2"/>
      </rPr>
      <t>y</t>
    </r>
    <phoneticPr fontId="9"/>
  </si>
  <si>
    <r>
      <t xml:space="preserve">Project net emission in year </t>
    </r>
    <r>
      <rPr>
        <i/>
        <sz val="11"/>
        <rFont val="Arial"/>
        <family val="2"/>
      </rPr>
      <t>y</t>
    </r>
    <phoneticPr fontId="9"/>
  </si>
  <si>
    <t>Monitoring Plan Sheet (Calculation Process Sheet) [Attachment to Project Design Document]</t>
  </si>
  <si>
    <t>1. Calculations for emission reductions to be credited</t>
    <phoneticPr fontId="2"/>
  </si>
  <si>
    <t>Pool / Sources</t>
    <phoneticPr fontId="2"/>
  </si>
  <si>
    <t>Value</t>
    <phoneticPr fontId="2"/>
  </si>
  <si>
    <t>Parameter</t>
  </si>
  <si>
    <r>
      <t xml:space="preserve">Project emission reductions to be credited during the period </t>
    </r>
    <r>
      <rPr>
        <i/>
        <sz val="11"/>
        <rFont val="Arial"/>
        <family val="2"/>
      </rPr>
      <t>p</t>
    </r>
    <phoneticPr fontId="2"/>
  </si>
  <si>
    <r>
      <t>tCO</t>
    </r>
    <r>
      <rPr>
        <vertAlign val="subscript"/>
        <sz val="11"/>
        <rFont val="Arial"/>
        <family val="2"/>
      </rPr>
      <t>2</t>
    </r>
    <r>
      <rPr>
        <sz val="11"/>
        <rFont val="Arial"/>
        <family val="2"/>
      </rPr>
      <t>e</t>
    </r>
    <phoneticPr fontId="2"/>
  </si>
  <si>
    <r>
      <t>ER</t>
    </r>
    <r>
      <rPr>
        <vertAlign val="subscript"/>
        <sz val="11"/>
        <rFont val="Arial"/>
        <family val="2"/>
      </rPr>
      <t>p</t>
    </r>
    <phoneticPr fontId="2"/>
  </si>
  <si>
    <r>
      <t xml:space="preserve">Project emission reductions to be credited in year </t>
    </r>
    <r>
      <rPr>
        <i/>
        <sz val="11"/>
        <rFont val="Arial"/>
        <family val="2"/>
      </rPr>
      <t>y</t>
    </r>
    <phoneticPr fontId="9"/>
  </si>
  <si>
    <r>
      <t>ER</t>
    </r>
    <r>
      <rPr>
        <vertAlign val="subscript"/>
        <sz val="11"/>
        <rFont val="Arial"/>
        <family val="2"/>
      </rPr>
      <t>y</t>
    </r>
    <phoneticPr fontId="2"/>
  </si>
  <si>
    <t>2. Calculations for project reference level</t>
    <phoneticPr fontId="2"/>
  </si>
  <si>
    <r>
      <t xml:space="preserve">Project reference level during period </t>
    </r>
    <r>
      <rPr>
        <i/>
        <sz val="11"/>
        <rFont val="Arial"/>
        <family val="2"/>
      </rPr>
      <t>p</t>
    </r>
    <phoneticPr fontId="2"/>
  </si>
  <si>
    <r>
      <t>RL</t>
    </r>
    <r>
      <rPr>
        <vertAlign val="subscript"/>
        <sz val="11"/>
        <rFont val="Arial"/>
        <family val="2"/>
      </rPr>
      <t>p</t>
    </r>
    <phoneticPr fontId="2"/>
  </si>
  <si>
    <r>
      <t xml:space="preserve">Project reference level in year </t>
    </r>
    <r>
      <rPr>
        <i/>
        <sz val="11"/>
        <rFont val="Arial"/>
        <family val="2"/>
      </rPr>
      <t>y</t>
    </r>
    <phoneticPr fontId="9"/>
  </si>
  <si>
    <t>Carbon stock</t>
    <phoneticPr fontId="9"/>
  </si>
  <si>
    <r>
      <t>tCO</t>
    </r>
    <r>
      <rPr>
        <vertAlign val="subscript"/>
        <sz val="11"/>
        <color indexed="8"/>
        <rFont val="Arial"/>
        <family val="2"/>
      </rPr>
      <t>2</t>
    </r>
    <r>
      <rPr>
        <sz val="11"/>
        <color indexed="8"/>
        <rFont val="Arial"/>
        <family val="2"/>
      </rPr>
      <t>e</t>
    </r>
    <phoneticPr fontId="2"/>
  </si>
  <si>
    <r>
      <t>RL</t>
    </r>
    <r>
      <rPr>
        <vertAlign val="subscript"/>
        <sz val="11"/>
        <color indexed="8"/>
        <rFont val="Arial"/>
        <family val="2"/>
      </rPr>
      <t>y</t>
    </r>
    <phoneticPr fontId="2"/>
  </si>
  <si>
    <t>3. Calculations of the project emissions</t>
    <phoneticPr fontId="2"/>
  </si>
  <si>
    <r>
      <t xml:space="preserve">Project net emissions during period </t>
    </r>
    <r>
      <rPr>
        <i/>
        <sz val="11"/>
        <rFont val="Arial"/>
        <family val="2"/>
      </rPr>
      <t>p</t>
    </r>
    <phoneticPr fontId="2"/>
  </si>
  <si>
    <t>Pep</t>
    <phoneticPr fontId="2"/>
  </si>
  <si>
    <r>
      <t xml:space="preserve">Emissions from carbon stock change in the project area in year </t>
    </r>
    <r>
      <rPr>
        <i/>
        <sz val="11"/>
        <rFont val="Arial"/>
        <family val="2"/>
      </rPr>
      <t>y</t>
    </r>
    <phoneticPr fontId="9"/>
  </si>
  <si>
    <r>
      <t>ΔCS</t>
    </r>
    <r>
      <rPr>
        <vertAlign val="subscript"/>
        <sz val="11"/>
        <rFont val="Arial"/>
        <family val="2"/>
      </rPr>
      <t>pj y</t>
    </r>
    <r>
      <rPr>
        <sz val="11"/>
        <rFont val="Arial"/>
        <family val="2"/>
      </rPr>
      <t>*44/12</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</si>
  <si>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phoneticPr fontId="9"/>
  </si>
  <si>
    <t>Combustion of fossil fuels</t>
    <phoneticPr fontId="9"/>
  </si>
  <si>
    <t>Efuel y</t>
    <phoneticPr fontId="9"/>
  </si>
  <si>
    <r>
      <t xml:space="preserve">GHG emissions from fertilizer application in year </t>
    </r>
    <r>
      <rPr>
        <i/>
        <sz val="11"/>
        <rFont val="Arial"/>
        <family val="2"/>
      </rPr>
      <t>y</t>
    </r>
    <phoneticPr fontId="9"/>
  </si>
  <si>
    <t>Fertilizer application</t>
    <phoneticPr fontId="9"/>
  </si>
  <si>
    <r>
      <t>E</t>
    </r>
    <r>
      <rPr>
        <sz val="11"/>
        <color rgb="FF000000"/>
        <rFont val="Arial"/>
        <family val="2"/>
      </rPr>
      <t>fertilizer y</t>
    </r>
    <phoneticPr fontId="9"/>
  </si>
  <si>
    <r>
      <t xml:space="preserve">Displacement of net emissions in year </t>
    </r>
    <r>
      <rPr>
        <i/>
        <sz val="11"/>
        <rFont val="Arial"/>
        <family val="2"/>
      </rPr>
      <t>y</t>
    </r>
    <phoneticPr fontId="9"/>
  </si>
  <si>
    <r>
      <t>DE</t>
    </r>
    <r>
      <rPr>
        <vertAlign val="subscript"/>
        <sz val="11"/>
        <color indexed="8"/>
        <rFont val="Arial"/>
        <family val="2"/>
      </rPr>
      <t>y</t>
    </r>
    <phoneticPr fontId="9"/>
  </si>
  <si>
    <t>4. Calculation of discount factor</t>
    <phoneticPr fontId="2"/>
  </si>
  <si>
    <t>Discount factor</t>
    <phoneticPr fontId="2"/>
  </si>
  <si>
    <t>%</t>
    <phoneticPr fontId="2"/>
  </si>
  <si>
    <t>DF</t>
    <phoneticPr fontId="9"/>
  </si>
  <si>
    <t>[List of Default Values]</t>
    <phoneticPr fontId="9"/>
  </si>
  <si>
    <r>
      <t>Emission factor for N</t>
    </r>
    <r>
      <rPr>
        <vertAlign val="subscript"/>
        <sz val="11"/>
        <rFont val="Arial"/>
        <family val="2"/>
      </rPr>
      <t>2</t>
    </r>
    <r>
      <rPr>
        <sz val="11"/>
        <rFont val="Arial"/>
        <family val="2"/>
      </rPr>
      <t>O emission from N inputs for general (non-paddy)</t>
    </r>
    <phoneticPr fontId="9"/>
  </si>
  <si>
    <r>
      <t>tN</t>
    </r>
    <r>
      <rPr>
        <vertAlign val="subscript"/>
        <sz val="11"/>
        <rFont val="Arial"/>
        <family val="2"/>
      </rPr>
      <t>2</t>
    </r>
    <r>
      <rPr>
        <sz val="11"/>
        <rFont val="Arial"/>
        <family val="2"/>
      </rPr>
      <t>O-N (tN-input)</t>
    </r>
    <r>
      <rPr>
        <vertAlign val="superscript"/>
        <sz val="11"/>
        <rFont val="Arial"/>
        <family val="2"/>
      </rPr>
      <t>-1</t>
    </r>
    <phoneticPr fontId="9"/>
  </si>
  <si>
    <r>
      <t>EF</t>
    </r>
    <r>
      <rPr>
        <vertAlign val="subscript"/>
        <sz val="11"/>
        <rFont val="Arial"/>
        <family val="2"/>
      </rPr>
      <t>direct-N</t>
    </r>
    <r>
      <rPr>
        <sz val="11"/>
        <rFont val="Arial"/>
        <family val="2"/>
      </rPr>
      <t xml:space="preserve"> (general)</t>
    </r>
    <phoneticPr fontId="9"/>
  </si>
  <si>
    <r>
      <t>Emission factor for N</t>
    </r>
    <r>
      <rPr>
        <vertAlign val="subscript"/>
        <sz val="11"/>
        <rFont val="Arial"/>
        <family val="2"/>
      </rPr>
      <t>2</t>
    </r>
    <r>
      <rPr>
        <sz val="11"/>
        <rFont val="Arial"/>
        <family val="2"/>
      </rPr>
      <t>O emission from N inputs for Rice paddy (flooded rice field)</t>
    </r>
    <phoneticPr fontId="9"/>
  </si>
  <si>
    <r>
      <t>EF</t>
    </r>
    <r>
      <rPr>
        <vertAlign val="subscript"/>
        <sz val="11"/>
        <rFont val="Arial"/>
        <family val="2"/>
      </rPr>
      <t>direct-N</t>
    </r>
    <r>
      <rPr>
        <sz val="11"/>
        <rFont val="Arial"/>
        <family val="2"/>
      </rPr>
      <t xml:space="preserve"> (paddy)</t>
    </r>
    <phoneticPr fontId="9"/>
  </si>
  <si>
    <r>
      <t>Fraction that volatilized as NH</t>
    </r>
    <r>
      <rPr>
        <vertAlign val="subscript"/>
        <sz val="11"/>
        <rFont val="Arial"/>
        <family val="2"/>
      </rPr>
      <t>3</t>
    </r>
    <r>
      <rPr>
        <sz val="11"/>
        <rFont val="Arial"/>
        <family val="2"/>
      </rPr>
      <t xml:space="preserve"> and NOx for synthetic fertilizers</t>
    </r>
    <phoneticPr fontId="9"/>
  </si>
  <si>
    <r>
      <t>Frac</t>
    </r>
    <r>
      <rPr>
        <vertAlign val="subscript"/>
        <sz val="11"/>
        <rFont val="Arial"/>
        <family val="2"/>
      </rPr>
      <t>SN</t>
    </r>
    <phoneticPr fontId="9"/>
  </si>
  <si>
    <r>
      <t>Fraction that volatilized as NH</t>
    </r>
    <r>
      <rPr>
        <vertAlign val="subscript"/>
        <sz val="11"/>
        <rFont val="Arial"/>
        <family val="2"/>
      </rPr>
      <t>3</t>
    </r>
    <r>
      <rPr>
        <sz val="11"/>
        <rFont val="Arial"/>
        <family val="2"/>
      </rPr>
      <t xml:space="preserve"> and NOx for organic fertilizers</t>
    </r>
    <phoneticPr fontId="9"/>
  </si>
  <si>
    <r>
      <t>Frac</t>
    </r>
    <r>
      <rPr>
        <vertAlign val="subscript"/>
        <sz val="11"/>
        <rFont val="Arial"/>
        <family val="2"/>
      </rPr>
      <t>ON</t>
    </r>
    <phoneticPr fontId="9"/>
  </si>
  <si>
    <r>
      <t>Emission factor for N</t>
    </r>
    <r>
      <rPr>
        <vertAlign val="subscript"/>
        <sz val="11"/>
        <rFont val="Arial"/>
        <family val="2"/>
      </rPr>
      <t>2</t>
    </r>
    <r>
      <rPr>
        <sz val="11"/>
        <rFont val="Arial"/>
        <family val="2"/>
      </rPr>
      <t>O emissions from atmospheric deposition of N on soils and water surfaces</t>
    </r>
    <phoneticPr fontId="9"/>
  </si>
  <si>
    <r>
      <t>tN</t>
    </r>
    <r>
      <rPr>
        <vertAlign val="subscript"/>
        <sz val="11"/>
        <rFont val="Arial"/>
        <family val="2"/>
      </rPr>
      <t>2</t>
    </r>
    <r>
      <rPr>
        <sz val="11"/>
        <rFont val="Arial"/>
        <family val="2"/>
      </rPr>
      <t>O-N (tNH</t>
    </r>
    <r>
      <rPr>
        <vertAlign val="subscript"/>
        <sz val="11"/>
        <rFont val="Arial"/>
        <family val="2"/>
      </rPr>
      <t>3</t>
    </r>
    <r>
      <rPr>
        <sz val="11"/>
        <rFont val="Arial"/>
        <family val="2"/>
      </rPr>
      <t>-N and NO</t>
    </r>
    <r>
      <rPr>
        <vertAlign val="subscript"/>
        <sz val="11"/>
        <rFont val="Arial"/>
        <family val="2"/>
      </rPr>
      <t>X</t>
    </r>
    <r>
      <rPr>
        <sz val="11"/>
        <rFont val="Arial"/>
        <family val="2"/>
      </rPr>
      <t>-N volatilized)</t>
    </r>
    <r>
      <rPr>
        <vertAlign val="superscript"/>
        <sz val="11"/>
        <rFont val="Arial"/>
        <family val="2"/>
      </rPr>
      <t>-1</t>
    </r>
    <phoneticPr fontId="9"/>
  </si>
  <si>
    <r>
      <t>EF</t>
    </r>
    <r>
      <rPr>
        <vertAlign val="subscript"/>
        <sz val="11"/>
        <rFont val="Arial"/>
        <family val="2"/>
      </rPr>
      <t>indirect-N</t>
    </r>
    <phoneticPr fontId="9"/>
  </si>
  <si>
    <t>Fraction of N that is lost through leaching and runoff</t>
    <phoneticPr fontId="9"/>
  </si>
  <si>
    <r>
      <t>Frac</t>
    </r>
    <r>
      <rPr>
        <vertAlign val="subscript"/>
        <sz val="11"/>
        <rFont val="Arial"/>
        <family val="2"/>
      </rPr>
      <t>leach</t>
    </r>
    <phoneticPr fontId="9"/>
  </si>
  <si>
    <r>
      <t>Emission factor for N</t>
    </r>
    <r>
      <rPr>
        <vertAlign val="subscript"/>
        <sz val="11"/>
        <rFont val="Arial"/>
        <family val="2"/>
      </rPr>
      <t>2</t>
    </r>
    <r>
      <rPr>
        <sz val="11"/>
        <rFont val="Arial"/>
        <family val="2"/>
      </rPr>
      <t>O emissions from N leaching and runoff</t>
    </r>
    <phoneticPr fontId="9"/>
  </si>
  <si>
    <r>
      <t>tN</t>
    </r>
    <r>
      <rPr>
        <vertAlign val="subscript"/>
        <sz val="11"/>
        <rFont val="Arial"/>
        <family val="2"/>
      </rPr>
      <t>2</t>
    </r>
    <r>
      <rPr>
        <sz val="11"/>
        <rFont val="Arial"/>
        <family val="2"/>
      </rPr>
      <t>O-N (t leaching and runoff)</t>
    </r>
    <r>
      <rPr>
        <vertAlign val="superscript"/>
        <sz val="11"/>
        <rFont val="Arial"/>
        <family val="2"/>
      </rPr>
      <t>-1</t>
    </r>
    <phoneticPr fontId="9"/>
  </si>
  <si>
    <r>
      <t>EF</t>
    </r>
    <r>
      <rPr>
        <vertAlign val="subscript"/>
        <sz val="11"/>
        <rFont val="Arial"/>
        <family val="2"/>
      </rPr>
      <t>leach-N</t>
    </r>
    <phoneticPr fontId="9"/>
  </si>
  <si>
    <t>Emission factor for limestone</t>
    <phoneticPr fontId="9"/>
  </si>
  <si>
    <r>
      <t>tC (t limestone)</t>
    </r>
    <r>
      <rPr>
        <vertAlign val="superscript"/>
        <sz val="11"/>
        <rFont val="Arial"/>
        <family val="2"/>
      </rPr>
      <t>-1</t>
    </r>
    <phoneticPr fontId="9"/>
  </si>
  <si>
    <r>
      <t>EF</t>
    </r>
    <r>
      <rPr>
        <vertAlign val="subscript"/>
        <sz val="11"/>
        <rFont val="Arial"/>
        <family val="2"/>
      </rPr>
      <t>limestone</t>
    </r>
    <phoneticPr fontId="9"/>
  </si>
  <si>
    <t>Emission factor for dolomite</t>
    <phoneticPr fontId="9"/>
  </si>
  <si>
    <r>
      <t>tC (t dolomite)</t>
    </r>
    <r>
      <rPr>
        <vertAlign val="superscript"/>
        <sz val="11"/>
        <rFont val="Arial"/>
        <family val="2"/>
      </rPr>
      <t>-1</t>
    </r>
    <phoneticPr fontId="9"/>
  </si>
  <si>
    <r>
      <t>EF</t>
    </r>
    <r>
      <rPr>
        <vertAlign val="subscript"/>
        <sz val="11"/>
        <rFont val="Arial"/>
        <family val="2"/>
      </rPr>
      <t>dolomite</t>
    </r>
    <phoneticPr fontId="9"/>
  </si>
  <si>
    <t>Emission factor for urea</t>
    <phoneticPr fontId="9"/>
  </si>
  <si>
    <r>
      <t>tC (t urea)</t>
    </r>
    <r>
      <rPr>
        <vertAlign val="superscript"/>
        <sz val="11"/>
        <rFont val="Arial"/>
        <family val="2"/>
      </rPr>
      <t>-1</t>
    </r>
    <phoneticPr fontId="9"/>
  </si>
  <si>
    <r>
      <t>EF</t>
    </r>
    <r>
      <rPr>
        <vertAlign val="subscript"/>
        <sz val="11"/>
        <rFont val="Arial"/>
        <family val="2"/>
      </rPr>
      <t>urea</t>
    </r>
    <phoneticPr fontId="9"/>
  </si>
  <si>
    <r>
      <t>Global Warming Potential for N</t>
    </r>
    <r>
      <rPr>
        <vertAlign val="subscript"/>
        <sz val="11"/>
        <rFont val="Arial"/>
        <family val="2"/>
      </rPr>
      <t>2</t>
    </r>
    <r>
      <rPr>
        <sz val="11"/>
        <rFont val="Arial"/>
        <family val="2"/>
      </rPr>
      <t>O</t>
    </r>
    <phoneticPr fontId="9"/>
  </si>
  <si>
    <r>
      <t>tCO</t>
    </r>
    <r>
      <rPr>
        <vertAlign val="subscript"/>
        <sz val="11"/>
        <rFont val="Arial"/>
        <family val="2"/>
      </rPr>
      <t xml:space="preserve">2 </t>
    </r>
    <r>
      <rPr>
        <sz val="11"/>
        <rFont val="Arial"/>
        <family val="2"/>
      </rPr>
      <t>tN</t>
    </r>
    <r>
      <rPr>
        <vertAlign val="subscript"/>
        <sz val="11"/>
        <rFont val="Arial"/>
        <family val="2"/>
      </rPr>
      <t>2</t>
    </r>
    <r>
      <rPr>
        <sz val="11"/>
        <rFont val="Arial"/>
        <family val="2"/>
      </rPr>
      <t>O</t>
    </r>
    <r>
      <rPr>
        <vertAlign val="superscript"/>
        <sz val="11"/>
        <rFont val="Arial"/>
        <family val="2"/>
      </rPr>
      <t>-1</t>
    </r>
    <phoneticPr fontId="9"/>
  </si>
  <si>
    <r>
      <t>GWP</t>
    </r>
    <r>
      <rPr>
        <vertAlign val="subscript"/>
        <sz val="11"/>
        <rFont val="Arial"/>
        <family val="2"/>
      </rPr>
      <t>N2O</t>
    </r>
    <phoneticPr fontId="9"/>
  </si>
  <si>
    <t>Net calorific value of gas/diesel oil</t>
    <phoneticPr fontId="9"/>
  </si>
  <si>
    <t>Net calorific value of motor gasoline</t>
    <phoneticPr fontId="9"/>
  </si>
  <si>
    <t>Net calorific value of crude oil</t>
    <phoneticPr fontId="9"/>
  </si>
  <si>
    <r>
      <t>CO</t>
    </r>
    <r>
      <rPr>
        <vertAlign val="subscript"/>
        <sz val="11"/>
        <rFont val="Arial"/>
        <family val="2"/>
      </rPr>
      <t>2</t>
    </r>
    <r>
      <rPr>
        <sz val="11"/>
        <rFont val="Arial"/>
        <family val="2"/>
      </rPr>
      <t xml:space="preserve"> emission factor of gas/diesel oil combusted</t>
    </r>
    <phoneticPr fontId="9"/>
  </si>
  <si>
    <r>
      <t>CO</t>
    </r>
    <r>
      <rPr>
        <vertAlign val="subscript"/>
        <sz val="11"/>
        <rFont val="Arial"/>
        <family val="2"/>
      </rPr>
      <t>2</t>
    </r>
    <r>
      <rPr>
        <sz val="11"/>
        <rFont val="Arial"/>
        <family val="2"/>
      </rPr>
      <t xml:space="preserve"> emission factor of motor gasoline combusted</t>
    </r>
    <phoneticPr fontId="9"/>
  </si>
  <si>
    <r>
      <t>CO</t>
    </r>
    <r>
      <rPr>
        <vertAlign val="subscript"/>
        <sz val="11"/>
        <rFont val="Arial"/>
        <family val="2"/>
      </rPr>
      <t>2</t>
    </r>
    <r>
      <rPr>
        <sz val="11"/>
        <rFont val="Arial"/>
        <family val="2"/>
      </rPr>
      <t xml:space="preserve"> emission factor of crude oil combusted</t>
    </r>
    <phoneticPr fontId="9"/>
  </si>
  <si>
    <t>Monitoring Structure and Procedure Sheet [Attachment to Project Design Document]</t>
    <phoneticPr fontId="2"/>
  </si>
  <si>
    <t>1. Monitoring Participants</t>
    <phoneticPr fontId="9"/>
  </si>
  <si>
    <t>Responsible organizations for implementing the methods and procedures for each data</t>
    <phoneticPr fontId="9"/>
  </si>
  <si>
    <t>Basic description of measurement methods and procedures</t>
    <phoneticPr fontId="9"/>
  </si>
  <si>
    <t>Organizations involved</t>
    <phoneticPr fontId="2"/>
  </si>
  <si>
    <t>Responsible personel and their roles</t>
    <phoneticPr fontId="9"/>
  </si>
  <si>
    <t>Personnel</t>
    <phoneticPr fontId="9"/>
  </si>
  <si>
    <t>Role(s)</t>
    <phoneticPr fontId="9"/>
  </si>
  <si>
    <t>2. Monitoring Procedures</t>
    <phoneticPr fontId="9"/>
  </si>
  <si>
    <t>Monitoring Procedure(s)</t>
    <phoneticPr fontId="9"/>
  </si>
  <si>
    <t>3. Procedures for recording and archiving data</t>
    <phoneticPr fontId="9"/>
  </si>
  <si>
    <t>Procedures for recording and archiving</t>
    <phoneticPr fontId="9"/>
  </si>
  <si>
    <t>4. QA/QC procedures</t>
    <phoneticPr fontId="9"/>
  </si>
  <si>
    <t>QA/QC procedures</t>
    <phoneticPr fontId="9"/>
  </si>
  <si>
    <t>Annex</t>
    <phoneticPr fontId="9"/>
  </si>
  <si>
    <t>Monitoring Report Sheet (Input Sheet) [For Verification]</t>
  </si>
  <si>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</si>
  <si>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</si>
  <si>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</si>
  <si>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</si>
  <si>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"MRS(input_PJ_Opt1)" sheet</t>
  </si>
  <si>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</si>
  <si>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 to be credited</t>
    </r>
    <phoneticPr fontId="2"/>
  </si>
  <si>
    <t>Monitoring Report Sheet (Calculation Process Sheet) [For Verification]</t>
  </si>
  <si>
    <t>Monitoring Report Sheet Attachment</t>
    <phoneticPr fontId="2"/>
  </si>
  <si>
    <t>1. Monitoring sites of the ground-based survey(s)</t>
    <phoneticPr fontId="9"/>
  </si>
  <si>
    <t>Monitoring sites (Map and locations)</t>
    <phoneticPr fontId="9"/>
  </si>
  <si>
    <t>2. Reassessment of project reference level</t>
    <phoneticPr fontId="9"/>
  </si>
  <si>
    <t>3. Recording and archiving data</t>
    <phoneticPr fontId="9"/>
  </si>
  <si>
    <t>Actual situation of recording and archiving</t>
    <phoneticPr fontId="9"/>
  </si>
  <si>
    <t>Beans &amp; pulses</t>
    <phoneticPr fontId="9"/>
  </si>
  <si>
    <t>Area converted from forest class i to non-forest in the project area in year y</t>
  </si>
  <si>
    <t>Cambodia's official forest map (Option A)</t>
  </si>
  <si>
    <t>Ministry of Environment, Cambodia, Conservation International</t>
  </si>
  <si>
    <t>Area converted from forest class i to non-forest in the displacement belt in year y</t>
  </si>
  <si>
    <t>(Direct method) Quantity of fuel type f consumed in year y</t>
  </si>
  <si>
    <t>Collect all purchase records of fuel used for the project activities, and record type and amount of fuel and type of vehicle/equipment.</t>
  </si>
  <si>
    <t>Provincial Department of Environment, Steung Treng Province, Conservation International</t>
  </si>
  <si>
    <t>Harvested annual dry matter yield for N-fixing crop T per unit area, introduced for implementation of the project activities in cropland type c in the project area and the activity area in year y</t>
  </si>
  <si>
    <t xml:space="preserve">Select 10% of farmers who introduce N-fixing crops under the project, measure dry yield for N-fixing crop, and calculate average t d.m ha-1. Alternatively published average dry yield data for the N-fixing crop can be used. </t>
  </si>
  <si>
    <t>Sansom Mlup Prey Cambodia (local NGO), Conservation International</t>
  </si>
  <si>
    <t>Total annual area harvested of N-fixing crop T, introduced for implementation of the project activities in cropland type c in the project area and the activity area in year y</t>
  </si>
  <si>
    <t>Record area harvested N-fixing crop by interviewing farmers. Alternatively, a project activity plan for area of farmland where N-fixing crop is introduced can be also used.</t>
  </si>
  <si>
    <t xml:space="preserve">Sansom Mlup Prey Cambodia (local NGO), target farmers, Conservation International </t>
  </si>
  <si>
    <t>Ratio of above-ground residues to harvested yield for N-fixing crop T</t>
  </si>
  <si>
    <t>Calculate based on Table 11.2 of Ch. 11, Vol, 4 of 2006 IPCC Guidelines, published and/or measured yield data.</t>
  </si>
  <si>
    <t>Conservation International</t>
  </si>
  <si>
    <t>Ratio of below-ground residues to harvested yield for N-fixing crop T</t>
  </si>
  <si>
    <t>N content of above-ground residues for N-fixing crop T</t>
  </si>
  <si>
    <t>Table 11.2 of Ch. 11, Vol, 4 of 2006 IPCC Guidelines (Option A)</t>
  </si>
  <si>
    <t>N content of below-ground residues for N-fixing crop T</t>
  </si>
  <si>
    <t>Fraction of total area under N-fixing crop T that is renewed annually</t>
  </si>
  <si>
    <t>Interview for local agriculture expert</t>
  </si>
  <si>
    <t>Ministry of Environment, Cambodia</t>
  </si>
  <si>
    <t>Responsible for generating Cambodia’s official forest map and providing the maps to Conservation International.</t>
    <phoneticPr fontId="9"/>
  </si>
  <si>
    <t>Provincial Department of Environment, Steung Treng Province</t>
  </si>
  <si>
    <t>Responsible for collecting purchase records of fuel used for the project activities.</t>
    <phoneticPr fontId="9"/>
  </si>
  <si>
    <t>Landscape Manager, Conservation International Cambodia</t>
    <phoneticPr fontId="9"/>
  </si>
  <si>
    <t>Responsible for overall monitoring and monitoring report.</t>
    <phoneticPr fontId="9"/>
  </si>
  <si>
    <r>
      <t>Manager,
Conservation International –</t>
    </r>
    <r>
      <rPr>
        <sz val="11"/>
        <rFont val="游ゴシック"/>
        <family val="2"/>
        <charset val="128"/>
      </rPr>
      <t xml:space="preserve"> </t>
    </r>
    <r>
      <rPr>
        <sz val="11"/>
        <rFont val="Arial"/>
        <family val="2"/>
      </rPr>
      <t>Betty and Gordon Moore Center for Science</t>
    </r>
    <phoneticPr fontId="9"/>
  </si>
  <si>
    <t>Responsible for applying the Cambodia’s official forest map to the project monitoring.</t>
    <phoneticPr fontId="9"/>
  </si>
  <si>
    <t>Spatial Analysis Coordinator,
Conservation International Cambodia</t>
    <phoneticPr fontId="9"/>
  </si>
  <si>
    <t>Support application of the Cambodia’s official forest map to the project monitoring</t>
    <phoneticPr fontId="9"/>
  </si>
  <si>
    <t>Technical Director,
Conservation International Japan</t>
    <phoneticPr fontId="9"/>
  </si>
  <si>
    <t>Responsible for calculating data</t>
    <phoneticPr fontId="9"/>
  </si>
  <si>
    <t xml:space="preserve">Sansom Mlup Prey Cambodia (local NGO) </t>
    <phoneticPr fontId="9"/>
  </si>
  <si>
    <t>Responsible for collecting agricultural data</t>
    <phoneticPr fontId="9"/>
  </si>
  <si>
    <t>Village Marketing Network Committees of Target farmers</t>
    <phoneticPr fontId="9"/>
  </si>
  <si>
    <t>Responsible for collecting some of agricultural data</t>
    <phoneticPr fontId="9"/>
  </si>
  <si>
    <t>Area of converted forest class to non-forest with error-adjusted area estimates applied as a factor. Calculated by extracting (histogram) of each forest class area from the Government official forest maps (or other approved data sources) at monitoring period start and monitoring period end. The area of forest conversion, from beginning to end of the monitoring period, to non-forest for each forest class is then adjusted based on accuracy as established using best practice methods and formulas as described in Olofsson et al. (2014).</t>
    <phoneticPr fontId="9"/>
  </si>
  <si>
    <t>(Direct method) Quantity of fuel type f consumed in year y</t>
    <phoneticPr fontId="9"/>
  </si>
  <si>
    <t>Harvested annual dry matter yield for N-fixing crop T per unit area, introduced for implementation of the project activities in cropland type c in the project area and the activity area in year y</t>
    <phoneticPr fontId="9"/>
  </si>
  <si>
    <t>Obtain the latest average dry yield data from FAO statistic.</t>
    <phoneticPr fontId="9"/>
  </si>
  <si>
    <t>Total annual area harvested of N-fixing crop T, introduced for implementation of the project activities in cropland type c in the project area and the activity area in year y</t>
    <phoneticPr fontId="9"/>
  </si>
  <si>
    <t>Obtain data from the project management record for area of farmland where N-fixing crop is introduced.</t>
    <phoneticPr fontId="9"/>
  </si>
  <si>
    <t>Ratio of above-ground residues to harvested yield for N-fixing crop T</t>
    <phoneticPr fontId="9"/>
  </si>
  <si>
    <t>Calculate based on Table 11.2 of Ch. 11, Vol, 4 of 2006 IPCC Guidelines and yield data from FAO statistics.</t>
    <phoneticPr fontId="9"/>
  </si>
  <si>
    <t>Ratio of below-ground residues to harvested yield for N-fixing crop T</t>
    <phoneticPr fontId="9"/>
  </si>
  <si>
    <t>Fraction of total area under N-fixing crop T that is renewed annually</t>
    <phoneticPr fontId="9"/>
  </si>
  <si>
    <t>Interview of Sansom Mlup Prey Cambodia</t>
    <phoneticPr fontId="9"/>
  </si>
  <si>
    <t>Data will be stored in at least two computers.</t>
    <phoneticPr fontId="9"/>
  </si>
  <si>
    <t>All purchase records of fuel used for the project activities will be filed and stored in Conservation International Cambodia’s office. Digitized data will be stored in at least two computers.</t>
    <phoneticPr fontId="9"/>
  </si>
  <si>
    <t>The area of forest conversion, from beginning to end of the monitoring period, to non-forest for each forest class is adjusted based on accuracy as established using best practice methods and formulas as described in Olofsson et al. (2014).</t>
    <phoneticPr fontId="9"/>
  </si>
  <si>
    <t>Double check the data entry.
No equipment is required for calibration</t>
    <phoneticPr fontId="9"/>
  </si>
  <si>
    <t>Reference Number: KH005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</si>
</sst>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0.000;[Red]\-#,##0.000"/>
    <numFmt numFmtId="178" formatCode="#,##0.0000;[Red]\-#,##0.0000"/>
    <numFmt numFmtId="179" formatCode="#,##0.0;[Red]\-#,##0.0"/>
    <numFmt numFmtId="180" formatCode="0_);[Red]\(0\)"/>
    <numFmt numFmtId="181" formatCode=";;&quot;&quot;"/>
    <numFmt numFmtId="182" formatCode="0.0"/>
    <numFmt numFmtId="183" formatCode="0.0000"/>
    <numFmt numFmtId="184" formatCode="#;#;&quot;&quot;"/>
    <numFmt numFmtId="185" formatCode="#0.0000;\-0.0000;&quot;&quot;"/>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sz val="11"/>
      <color theme="0"/>
      <name val="Arial"/>
      <family val="2"/>
    </font>
    <font>
      <sz val="11"/>
      <color theme="1"/>
      <name val="Arial"/>
      <family val="2"/>
    </font>
    <font>
      <b/>
      <sz val="11"/>
      <color theme="1"/>
      <name val="Arial"/>
      <family val="2"/>
    </font>
    <font>
      <sz val="11"/>
      <color theme="1"/>
      <name val="ＭＳ Ｐゴシック"/>
      <family val="3"/>
      <charset val="128"/>
      <scheme val="minor"/>
    </font>
    <font>
      <u/>
      <sz val="11"/>
      <color theme="10"/>
      <name val="ＭＳ Ｐゴシック"/>
      <family val="3"/>
      <charset val="128"/>
      <scheme val="minor"/>
    </font>
    <font>
      <b/>
      <i/>
      <sz val="11"/>
      <color indexed="8"/>
      <name val="Arial"/>
      <family val="2"/>
    </font>
    <font>
      <sz val="11"/>
      <color rgb="FFFF0000"/>
      <name val="Arial"/>
      <family val="2"/>
    </font>
    <font>
      <sz val="11"/>
      <color indexed="10"/>
      <name val="Arial"/>
      <family val="2"/>
    </font>
    <font>
      <b/>
      <vertAlign val="subscript"/>
      <sz val="11"/>
      <color indexed="8"/>
      <name val="Arial"/>
      <family val="2"/>
    </font>
    <font>
      <b/>
      <vertAlign val="subscript"/>
      <sz val="11"/>
      <color indexed="9"/>
      <name val="Arial"/>
      <family val="2"/>
    </font>
    <font>
      <b/>
      <i/>
      <sz val="11"/>
      <color theme="0"/>
      <name val="Arial"/>
      <family val="2"/>
    </font>
    <font>
      <i/>
      <sz val="11"/>
      <name val="Arial"/>
      <family val="2"/>
    </font>
    <font>
      <vertAlign val="subscript"/>
      <sz val="11"/>
      <name val="Arial"/>
      <family val="2"/>
    </font>
    <font>
      <vertAlign val="superscript"/>
      <sz val="11"/>
      <name val="Arial"/>
      <family val="2"/>
    </font>
    <font>
      <strike/>
      <sz val="11"/>
      <name val="Arial"/>
      <family val="2"/>
    </font>
    <font>
      <sz val="11"/>
      <name val="ＭＳ Ｐゴシック"/>
      <family val="3"/>
      <charset val="128"/>
    </font>
    <font>
      <sz val="11"/>
      <color rgb="FF000000"/>
      <name val="Arial"/>
      <family val="2"/>
    </font>
    <font>
      <sz val="11"/>
      <name val="游ゴシック"/>
      <family val="2"/>
      <charset val="128"/>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9" tint="0.59999389629810485"/>
        <bgColor indexed="65"/>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thin">
        <color indexed="23"/>
      </left>
      <right style="thin">
        <color indexed="23"/>
      </right>
      <top/>
      <bottom style="thin">
        <color indexed="23"/>
      </bottom>
      <diagonal/>
    </border>
    <border>
      <left/>
      <right style="thin">
        <color theme="1" tint="0.34998626667073579"/>
      </right>
      <top style="thin">
        <color theme="1"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34998626667073579"/>
      </left>
      <right/>
      <top style="thin">
        <color theme="1" tint="0.34998626667073579"/>
      </top>
      <bottom style="thin">
        <color indexed="64"/>
      </bottom>
      <diagonal/>
    </border>
    <border>
      <left style="thin">
        <color theme="1" tint="0.34998626667073579"/>
      </left>
      <right/>
      <top/>
      <bottom style="thin">
        <color theme="1" tint="0.34998626667073579"/>
      </bottom>
      <diagonal/>
    </border>
    <border>
      <left style="thin">
        <color theme="0" tint="-0.499984740745262"/>
      </left>
      <right style="thin">
        <color theme="0" tint="-0.499984740745262"/>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1" tint="0.34998626667073579"/>
      </top>
      <bottom/>
      <diagonal/>
    </border>
    <border>
      <left/>
      <right style="thin">
        <color indexed="64"/>
      </right>
      <top style="thin">
        <color theme="1" tint="0.34998626667073579"/>
      </top>
      <bottom/>
      <diagonal/>
    </border>
    <border>
      <left/>
      <right style="thin">
        <color indexed="64"/>
      </right>
      <top style="thin">
        <color indexed="64"/>
      </top>
      <bottom style="thin">
        <color indexed="64"/>
      </bottom>
      <diagonal/>
    </border>
    <border>
      <left style="thin">
        <color indexed="64"/>
      </left>
      <right style="thin">
        <color indexed="64"/>
      </right>
      <top style="thin">
        <color theme="1" tint="0.34998626667073579"/>
      </top>
      <bottom style="thin">
        <color indexed="64"/>
      </bottom>
      <diagonal/>
    </border>
    <border>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11" borderId="0" applyNumberFormat="0" applyBorder="0" applyAlignment="0" applyProtection="0">
      <alignment vertical="center"/>
    </xf>
    <xf numFmtId="0" fontId="13" fillId="0" borderId="0">
      <alignment vertical="center"/>
    </xf>
  </cellStyleXfs>
  <cellXfs count="245">
    <xf numFmtId="0" fontId="0" fillId="0" borderId="0" xfId="0">
      <alignment vertical="center"/>
    </xf>
    <xf numFmtId="0" fontId="11" fillId="0" borderId="0" xfId="0" applyFont="1" applyAlignment="1">
      <alignment vertical="center" wrapText="1"/>
    </xf>
    <xf numFmtId="40" fontId="11" fillId="0" borderId="0" xfId="1" applyNumberFormat="1" applyFont="1" applyAlignment="1">
      <alignment vertical="center" wrapText="1"/>
    </xf>
    <xf numFmtId="0" fontId="3" fillId="0" borderId="0" xfId="0" applyFont="1" applyAlignment="1">
      <alignment horizontal="right" vertical="center"/>
    </xf>
    <xf numFmtId="0" fontId="8" fillId="3" borderId="0" xfId="0" applyFont="1" applyFill="1">
      <alignment vertical="center"/>
    </xf>
    <xf numFmtId="0" fontId="5" fillId="3" borderId="0" xfId="0" applyFont="1" applyFill="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83" fontId="7" fillId="0" borderId="1" xfId="0" applyNumberFormat="1" applyFont="1" applyBorder="1" applyProtection="1">
      <alignment vertical="center"/>
      <protection locked="0"/>
    </xf>
    <xf numFmtId="2" fontId="7" fillId="0" borderId="1" xfId="0" applyNumberFormat="1" applyFont="1" applyBorder="1" applyProtection="1">
      <alignment vertical="center"/>
      <protection locked="0"/>
    </xf>
    <xf numFmtId="0" fontId="3" fillId="0" borderId="0" xfId="0" applyFont="1">
      <alignment vertical="center"/>
    </xf>
    <xf numFmtId="0" fontId="3" fillId="0" borderId="0" xfId="0" applyFont="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7" fillId="0" borderId="0" xfId="0" applyFont="1">
      <alignment vertical="center"/>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38" fontId="7" fillId="5" borderId="1" xfId="1" quotePrefix="1" applyFont="1" applyFill="1" applyBorder="1" applyAlignment="1" applyProtection="1">
      <alignment horizontal="center" vertical="center"/>
    </xf>
    <xf numFmtId="0" fontId="7" fillId="5" borderId="1" xfId="0" applyFont="1" applyFill="1" applyBorder="1" applyAlignment="1">
      <alignment horizontal="center" vertical="center"/>
    </xf>
    <xf numFmtId="0" fontId="7" fillId="5" borderId="2" xfId="0" applyFont="1" applyFill="1" applyBorder="1">
      <alignment vertical="center"/>
    </xf>
    <xf numFmtId="0" fontId="7" fillId="5" borderId="2" xfId="0" applyFont="1" applyFill="1" applyBorder="1" applyAlignment="1">
      <alignment vertical="center" wrapText="1"/>
    </xf>
    <xf numFmtId="38" fontId="7" fillId="5" borderId="2" xfId="1" quotePrefix="1" applyFont="1" applyFill="1" applyBorder="1" applyAlignment="1" applyProtection="1">
      <alignment horizontal="center" vertical="center"/>
    </xf>
    <xf numFmtId="0" fontId="7" fillId="5" borderId="16" xfId="0" applyFont="1" applyFill="1" applyBorder="1">
      <alignment vertical="center"/>
    </xf>
    <xf numFmtId="0" fontId="7" fillId="5" borderId="16" xfId="0" applyFont="1" applyFill="1" applyBorder="1" applyAlignment="1">
      <alignment vertical="center" wrapText="1"/>
    </xf>
    <xf numFmtId="38" fontId="7" fillId="5" borderId="16" xfId="1" quotePrefix="1" applyFont="1" applyFill="1" applyBorder="1" applyAlignment="1" applyProtection="1">
      <alignment horizontal="center" vertical="center"/>
    </xf>
    <xf numFmtId="0" fontId="7" fillId="5" borderId="14" xfId="0" applyFont="1" applyFill="1" applyBorder="1">
      <alignment vertical="center"/>
    </xf>
    <xf numFmtId="0" fontId="7" fillId="5" borderId="14" xfId="0" applyFont="1" applyFill="1" applyBorder="1" applyAlignment="1">
      <alignment vertical="center" wrapText="1"/>
    </xf>
    <xf numFmtId="38" fontId="7" fillId="5" borderId="14" xfId="1" quotePrefix="1" applyFont="1" applyFill="1" applyBorder="1" applyAlignment="1" applyProtection="1">
      <alignment horizontal="center" vertical="center"/>
    </xf>
    <xf numFmtId="0" fontId="16" fillId="0" borderId="0" xfId="0" quotePrefix="1" applyFont="1" applyAlignment="1">
      <alignment horizontal="center" vertical="center"/>
    </xf>
    <xf numFmtId="0" fontId="16" fillId="0" borderId="0" xfId="0" applyFont="1">
      <alignment vertical="center"/>
    </xf>
    <xf numFmtId="0" fontId="16" fillId="0" borderId="0" xfId="0" applyFont="1" applyAlignment="1">
      <alignment vertical="center" wrapText="1"/>
    </xf>
    <xf numFmtId="38" fontId="17" fillId="0" borderId="0" xfId="1" applyFont="1" applyProtection="1">
      <alignment vertical="center"/>
    </xf>
    <xf numFmtId="0" fontId="17" fillId="0" borderId="0" xfId="0" applyFont="1">
      <alignment vertical="center"/>
    </xf>
    <xf numFmtId="0" fontId="17" fillId="0" borderId="0" xfId="0" applyFont="1" applyAlignment="1">
      <alignment vertical="center" wrapText="1"/>
    </xf>
    <xf numFmtId="0" fontId="5" fillId="4" borderId="2" xfId="0" applyFont="1" applyFill="1" applyBorder="1" applyAlignment="1">
      <alignment horizontal="center" vertical="center" wrapText="1"/>
    </xf>
    <xf numFmtId="38" fontId="17" fillId="2" borderId="19" xfId="1" applyFont="1" applyFill="1" applyBorder="1" applyProtection="1">
      <alignment vertical="center"/>
    </xf>
    <xf numFmtId="0" fontId="7" fillId="5" borderId="17" xfId="0" applyFont="1" applyFill="1" applyBorder="1">
      <alignment vertical="center"/>
    </xf>
    <xf numFmtId="0" fontId="7" fillId="5" borderId="18" xfId="0" applyFont="1" applyFill="1" applyBorder="1">
      <alignment vertical="center"/>
    </xf>
    <xf numFmtId="38" fontId="3" fillId="0" borderId="0" xfId="1" applyFont="1" applyAlignment="1" applyProtection="1">
      <alignment vertical="center" wrapText="1"/>
    </xf>
    <xf numFmtId="38" fontId="3" fillId="0" borderId="0" xfId="1"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180" fontId="7" fillId="0" borderId="20" xfId="1" applyNumberFormat="1" applyFont="1" applyBorder="1" applyAlignment="1" applyProtection="1">
      <alignment vertical="center" wrapText="1"/>
      <protection locked="0"/>
    </xf>
    <xf numFmtId="38" fontId="7" fillId="0" borderId="20" xfId="1" applyFont="1" applyBorder="1" applyAlignment="1" applyProtection="1">
      <alignment vertical="center" wrapText="1"/>
      <protection locked="0"/>
    </xf>
    <xf numFmtId="40" fontId="11" fillId="0" borderId="0" xfId="1" applyNumberFormat="1" applyFont="1" applyAlignment="1" applyProtection="1">
      <alignment vertical="center" wrapText="1"/>
    </xf>
    <xf numFmtId="0" fontId="11" fillId="0" borderId="0" xfId="0" applyFont="1" applyAlignment="1">
      <alignment horizontal="right" vertical="center"/>
    </xf>
    <xf numFmtId="0" fontId="7" fillId="5" borderId="20" xfId="0" applyFont="1" applyFill="1" applyBorder="1" applyAlignment="1">
      <alignment horizontal="center" vertical="center" wrapText="1"/>
    </xf>
    <xf numFmtId="40" fontId="7" fillId="5" borderId="20" xfId="1" applyNumberFormat="1" applyFont="1" applyFill="1" applyBorder="1" applyAlignment="1" applyProtection="1">
      <alignment vertical="center" wrapText="1"/>
    </xf>
    <xf numFmtId="0" fontId="7" fillId="5" borderId="20" xfId="0" applyFont="1" applyFill="1" applyBorder="1" applyAlignment="1">
      <alignment vertical="center" wrapText="1"/>
    </xf>
    <xf numFmtId="38" fontId="7" fillId="5" borderId="20" xfId="1" applyFont="1" applyFill="1" applyBorder="1" applyAlignment="1" applyProtection="1">
      <alignment vertical="center" wrapText="1"/>
    </xf>
    <xf numFmtId="0" fontId="10" fillId="10" borderId="20" xfId="0" applyFont="1" applyFill="1" applyBorder="1" applyAlignment="1">
      <alignment vertical="center" wrapText="1"/>
    </xf>
    <xf numFmtId="38" fontId="11" fillId="5" borderId="20" xfId="1" applyFont="1" applyFill="1" applyBorder="1" applyAlignment="1" applyProtection="1">
      <alignment horizontal="center" vertical="center" wrapText="1"/>
    </xf>
    <xf numFmtId="38" fontId="11" fillId="5" borderId="20" xfId="1" applyFont="1" applyFill="1" applyBorder="1" applyAlignment="1" applyProtection="1">
      <alignment vertical="center" wrapText="1"/>
    </xf>
    <xf numFmtId="38" fontId="11" fillId="5" borderId="20" xfId="0" applyNumberFormat="1" applyFont="1" applyFill="1" applyBorder="1" applyAlignment="1">
      <alignment vertical="center" wrapText="1"/>
    </xf>
    <xf numFmtId="0" fontId="11" fillId="10" borderId="20" xfId="0" applyFont="1" applyFill="1" applyBorder="1" applyAlignment="1">
      <alignment vertical="center" wrapText="1"/>
    </xf>
    <xf numFmtId="0" fontId="11" fillId="5" borderId="20" xfId="0" applyFont="1" applyFill="1" applyBorder="1" applyAlignment="1">
      <alignment vertical="center" wrapText="1"/>
    </xf>
    <xf numFmtId="40" fontId="11" fillId="5" borderId="20" xfId="1" applyNumberFormat="1" applyFont="1" applyFill="1" applyBorder="1" applyAlignment="1" applyProtection="1">
      <alignment horizontal="right" vertical="center" wrapText="1"/>
    </xf>
    <xf numFmtId="38" fontId="7" fillId="0" borderId="20" xfId="1" applyFont="1" applyFill="1" applyBorder="1" applyAlignment="1" applyProtection="1">
      <alignment vertical="center" wrapText="1"/>
      <protection locked="0"/>
    </xf>
    <xf numFmtId="178" fontId="7" fillId="0" borderId="20" xfId="1" applyNumberFormat="1" applyFont="1" applyBorder="1" applyAlignment="1" applyProtection="1">
      <alignment vertical="center" wrapText="1"/>
      <protection locked="0"/>
    </xf>
    <xf numFmtId="183" fontId="7" fillId="0" borderId="20" xfId="1" applyNumberFormat="1"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179" fontId="7" fillId="9" borderId="20" xfId="0" applyNumberFormat="1" applyFont="1" applyFill="1" applyBorder="1" applyAlignment="1" applyProtection="1">
      <alignment vertical="center" wrapText="1"/>
      <protection locked="0"/>
    </xf>
    <xf numFmtId="179" fontId="7" fillId="9" borderId="20" xfId="1" applyNumberFormat="1" applyFont="1" applyFill="1" applyBorder="1" applyAlignment="1" applyProtection="1">
      <alignment vertical="center" wrapText="1"/>
      <protection locked="0"/>
    </xf>
    <xf numFmtId="179" fontId="7" fillId="0" borderId="20" xfId="1" applyNumberFormat="1" applyFont="1" applyBorder="1" applyAlignment="1" applyProtection="1">
      <alignment vertical="center" wrapText="1"/>
      <protection locked="0"/>
    </xf>
    <xf numFmtId="40" fontId="7" fillId="0" borderId="20" xfId="1" applyNumberFormat="1" applyFont="1" applyFill="1" applyBorder="1" applyAlignment="1" applyProtection="1">
      <alignment horizontal="center" vertical="center" wrapText="1"/>
      <protection locked="0"/>
    </xf>
    <xf numFmtId="40" fontId="7" fillId="0" borderId="20" xfId="1" applyNumberFormat="1" applyFont="1" applyBorder="1" applyAlignment="1" applyProtection="1">
      <alignment vertical="center" wrapText="1"/>
      <protection locked="0"/>
    </xf>
    <xf numFmtId="176" fontId="7" fillId="0" borderId="20" xfId="1" applyNumberFormat="1" applyFont="1" applyBorder="1" applyAlignment="1" applyProtection="1">
      <alignment vertical="center" wrapText="1"/>
      <protection locked="0"/>
    </xf>
    <xf numFmtId="176" fontId="7" fillId="0" borderId="20" xfId="0" applyNumberFormat="1" applyFont="1" applyBorder="1" applyAlignment="1" applyProtection="1">
      <alignment vertical="center" wrapText="1"/>
      <protection locked="0"/>
    </xf>
    <xf numFmtId="182" fontId="7" fillId="0" borderId="20" xfId="1" applyNumberFormat="1" applyFont="1" applyBorder="1" applyAlignment="1" applyProtection="1">
      <alignment vertical="center" wrapText="1"/>
      <protection locked="0"/>
    </xf>
    <xf numFmtId="182" fontId="7" fillId="0" borderId="20" xfId="0" applyNumberFormat="1" applyFont="1" applyBorder="1" applyAlignment="1" applyProtection="1">
      <alignment vertical="center" wrapText="1"/>
      <protection locked="0"/>
    </xf>
    <xf numFmtId="38" fontId="7" fillId="9" borderId="20" xfId="1" applyFont="1" applyFill="1" applyBorder="1" applyAlignment="1" applyProtection="1">
      <alignment vertical="center" wrapText="1"/>
      <protection locked="0"/>
    </xf>
    <xf numFmtId="0" fontId="12" fillId="0" borderId="0" xfId="0" applyFont="1">
      <alignment vertical="center"/>
    </xf>
    <xf numFmtId="40" fontId="7" fillId="5" borderId="20" xfId="0" applyNumberFormat="1" applyFont="1" applyFill="1" applyBorder="1" applyAlignment="1">
      <alignment vertical="center" wrapText="1"/>
    </xf>
    <xf numFmtId="40" fontId="7" fillId="5" borderId="20" xfId="1" applyNumberFormat="1" applyFont="1" applyFill="1" applyBorder="1" applyAlignment="1" applyProtection="1">
      <alignment horizontal="right" vertical="center" wrapText="1"/>
    </xf>
    <xf numFmtId="40" fontId="12" fillId="0" borderId="0" xfId="1" applyNumberFormat="1" applyFont="1" applyAlignment="1" applyProtection="1">
      <alignment vertical="center"/>
    </xf>
    <xf numFmtId="184" fontId="7" fillId="5" borderId="20" xfId="1" applyNumberFormat="1" applyFont="1" applyFill="1" applyBorder="1" applyAlignment="1" applyProtection="1">
      <alignment vertical="center" wrapText="1"/>
    </xf>
    <xf numFmtId="178" fontId="7" fillId="5" borderId="20" xfId="0" applyNumberFormat="1" applyFont="1" applyFill="1" applyBorder="1" applyAlignment="1">
      <alignment vertical="center" wrapText="1"/>
    </xf>
    <xf numFmtId="178" fontId="7" fillId="5" borderId="20" xfId="0" applyNumberFormat="1" applyFont="1" applyFill="1" applyBorder="1">
      <alignment vertical="center"/>
    </xf>
    <xf numFmtId="183" fontId="7" fillId="5" borderId="20" xfId="0" applyNumberFormat="1" applyFont="1" applyFill="1" applyBorder="1" applyAlignment="1">
      <alignment vertical="center" wrapText="1"/>
    </xf>
    <xf numFmtId="179" fontId="7" fillId="5" borderId="20" xfId="1" applyNumberFormat="1" applyFont="1" applyFill="1" applyBorder="1" applyAlignment="1" applyProtection="1">
      <alignment vertical="center" wrapText="1"/>
    </xf>
    <xf numFmtId="0" fontId="14" fillId="0" borderId="0" xfId="2" applyProtection="1">
      <alignment vertical="center"/>
    </xf>
    <xf numFmtId="178" fontId="7" fillId="5" borderId="20" xfId="1" applyNumberFormat="1" applyFont="1" applyFill="1" applyBorder="1" applyAlignment="1" applyProtection="1">
      <alignment vertical="center" wrapText="1"/>
    </xf>
    <xf numFmtId="0" fontId="11" fillId="0" borderId="0" xfId="0" applyFont="1">
      <alignment vertical="center"/>
    </xf>
    <xf numFmtId="178" fontId="11" fillId="0" borderId="0" xfId="1" applyNumberFormat="1" applyFont="1" applyAlignment="1" applyProtection="1">
      <alignment vertical="center" wrapText="1"/>
    </xf>
    <xf numFmtId="40" fontId="7" fillId="5" borderId="20" xfId="1" applyNumberFormat="1" applyFont="1" applyFill="1" applyBorder="1" applyAlignment="1" applyProtection="1">
      <alignment horizontal="center" vertical="center" wrapText="1"/>
    </xf>
    <xf numFmtId="181" fontId="7" fillId="5" borderId="20" xfId="1" applyNumberFormat="1" applyFont="1" applyFill="1" applyBorder="1" applyAlignment="1" applyProtection="1">
      <alignment horizontal="center" vertical="center" wrapText="1"/>
    </xf>
    <xf numFmtId="181" fontId="7" fillId="5" borderId="20"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6" xfId="0" applyFont="1" applyFill="1" applyBorder="1" applyAlignment="1">
      <alignment horizontal="center" vertical="center" wrapText="1"/>
    </xf>
    <xf numFmtId="182" fontId="7" fillId="5" borderId="20" xfId="0" applyNumberFormat="1" applyFont="1" applyFill="1" applyBorder="1" applyAlignment="1">
      <alignment vertical="center" wrapText="1"/>
    </xf>
    <xf numFmtId="182" fontId="7" fillId="5" borderId="20" xfId="1" applyNumberFormat="1" applyFont="1" applyFill="1" applyBorder="1" applyAlignment="1" applyProtection="1">
      <alignment vertical="center" wrapText="1"/>
    </xf>
    <xf numFmtId="38" fontId="7" fillId="5" borderId="20" xfId="1" applyFont="1" applyFill="1" applyBorder="1" applyAlignment="1" applyProtection="1">
      <alignment horizontal="center" vertical="center" wrapText="1"/>
    </xf>
    <xf numFmtId="179" fontId="7" fillId="5" borderId="20" xfId="0" applyNumberFormat="1" applyFont="1" applyFill="1" applyBorder="1" applyAlignment="1">
      <alignment vertical="center" wrapText="1"/>
    </xf>
    <xf numFmtId="179" fontId="11" fillId="5" borderId="20" xfId="1" applyNumberFormat="1" applyFont="1" applyFill="1" applyBorder="1" applyAlignment="1" applyProtection="1">
      <alignment vertical="center" wrapText="1"/>
    </xf>
    <xf numFmtId="0" fontId="3" fillId="0" borderId="0" xfId="0" applyFont="1" applyAlignment="1">
      <alignment horizontal="center" vertical="center" shrinkToFit="1"/>
    </xf>
    <xf numFmtId="0" fontId="5" fillId="4" borderId="7" xfId="0" applyFont="1" applyFill="1" applyBorder="1">
      <alignment vertical="center"/>
    </xf>
    <xf numFmtId="0" fontId="3" fillId="4" borderId="3" xfId="0" applyFont="1" applyFill="1" applyBorder="1">
      <alignment vertical="center"/>
    </xf>
    <xf numFmtId="0" fontId="5" fillId="4" borderId="3" xfId="0" applyFont="1" applyFill="1" applyBorder="1">
      <alignment vertical="center"/>
    </xf>
    <xf numFmtId="0" fontId="5" fillId="4" borderId="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 xfId="0" applyFont="1" applyFill="1" applyBorder="1" applyAlignment="1">
      <alignment horizontal="center" vertical="center" shrinkToFit="1"/>
    </xf>
    <xf numFmtId="0" fontId="7" fillId="4" borderId="8" xfId="0" applyFont="1" applyFill="1" applyBorder="1">
      <alignment vertical="center"/>
    </xf>
    <xf numFmtId="0" fontId="7" fillId="6" borderId="3" xfId="0" applyFont="1" applyFill="1" applyBorder="1">
      <alignment vertical="center"/>
    </xf>
    <xf numFmtId="0" fontId="7" fillId="0" borderId="4" xfId="0" applyFont="1" applyBorder="1">
      <alignment vertical="center"/>
    </xf>
    <xf numFmtId="179" fontId="7" fillId="0" borderId="19" xfId="1" applyNumberFormat="1" applyFont="1" applyBorder="1" applyProtection="1">
      <alignment vertical="center"/>
    </xf>
    <xf numFmtId="0" fontId="7" fillId="0" borderId="6" xfId="0" applyFont="1" applyBorder="1">
      <alignment vertical="center"/>
    </xf>
    <xf numFmtId="0" fontId="7" fillId="0" borderId="3" xfId="0" applyFont="1" applyBorder="1" applyAlignment="1">
      <alignment horizontal="center" vertical="center" shrinkToFit="1"/>
    </xf>
    <xf numFmtId="0" fontId="7" fillId="4" borderId="9" xfId="0" applyFont="1" applyFill="1" applyBorder="1">
      <alignment vertical="center"/>
    </xf>
    <xf numFmtId="0" fontId="7" fillId="6" borderId="11" xfId="0" applyFont="1" applyFill="1" applyBorder="1">
      <alignment vertical="center"/>
    </xf>
    <xf numFmtId="0" fontId="7" fillId="8" borderId="10" xfId="0" applyFont="1" applyFill="1" applyBorder="1">
      <alignment vertical="center"/>
    </xf>
    <xf numFmtId="0" fontId="7" fillId="8" borderId="6" xfId="0" applyFont="1" applyFill="1" applyBorder="1">
      <alignment vertical="center"/>
    </xf>
    <xf numFmtId="0" fontId="7" fillId="8" borderId="6" xfId="0" applyFont="1" applyFill="1" applyBorder="1" applyAlignment="1">
      <alignment horizontal="left" vertical="center"/>
    </xf>
    <xf numFmtId="38" fontId="7" fillId="8" borderId="8" xfId="1" applyFont="1" applyFill="1" applyBorder="1" applyProtection="1">
      <alignment vertical="center"/>
    </xf>
    <xf numFmtId="0" fontId="7" fillId="8" borderId="3" xfId="0" applyFont="1" applyFill="1" applyBorder="1">
      <alignment vertical="center"/>
    </xf>
    <xf numFmtId="0" fontId="7" fillId="8" borderId="3" xfId="0" applyFont="1" applyFill="1" applyBorder="1" applyAlignment="1">
      <alignment horizontal="center" vertical="center" shrinkToFit="1"/>
    </xf>
    <xf numFmtId="0" fontId="7" fillId="6" borderId="9" xfId="0" applyFont="1" applyFill="1" applyBorder="1">
      <alignment vertical="center"/>
    </xf>
    <xf numFmtId="0" fontId="7" fillId="5" borderId="12" xfId="0" applyFont="1" applyFill="1" applyBorder="1">
      <alignment vertical="center"/>
    </xf>
    <xf numFmtId="0" fontId="7" fillId="0" borderId="3" xfId="0" applyFont="1" applyBorder="1" applyAlignment="1">
      <alignment horizontal="left" vertical="center"/>
    </xf>
    <xf numFmtId="179" fontId="7" fillId="0" borderId="3" xfId="1" applyNumberFormat="1" applyFont="1" applyBorder="1" applyProtection="1">
      <alignment vertical="center"/>
    </xf>
    <xf numFmtId="0" fontId="7" fillId="0" borderId="3" xfId="0" applyFont="1" applyBorder="1">
      <alignment vertical="center"/>
    </xf>
    <xf numFmtId="38" fontId="5" fillId="4" borderId="7" xfId="1" applyFont="1" applyFill="1" applyBorder="1" applyProtection="1">
      <alignment vertical="center"/>
    </xf>
    <xf numFmtId="0" fontId="7" fillId="6" borderId="7" xfId="0" applyFont="1" applyFill="1" applyBorder="1">
      <alignment vertical="center"/>
    </xf>
    <xf numFmtId="0" fontId="3" fillId="4" borderId="9" xfId="0" applyFont="1" applyFill="1" applyBorder="1">
      <alignment vertical="center"/>
    </xf>
    <xf numFmtId="0" fontId="3" fillId="6" borderId="9" xfId="0" applyFont="1" applyFill="1" applyBorder="1">
      <alignment vertical="center"/>
    </xf>
    <xf numFmtId="0" fontId="3" fillId="5" borderId="12" xfId="0" applyFont="1" applyFill="1" applyBorder="1">
      <alignment vertical="center"/>
    </xf>
    <xf numFmtId="0" fontId="3" fillId="0" borderId="3" xfId="0" applyFont="1" applyBorder="1" applyAlignment="1">
      <alignment horizontal="left" vertical="center"/>
    </xf>
    <xf numFmtId="179" fontId="3" fillId="0" borderId="3" xfId="1" applyNumberFormat="1" applyFont="1" applyBorder="1" applyProtection="1">
      <alignment vertical="center"/>
    </xf>
    <xf numFmtId="0" fontId="3" fillId="0" borderId="3" xfId="0" applyFont="1" applyBorder="1" applyAlignment="1">
      <alignment horizontal="center" vertical="center" shrinkToFit="1"/>
    </xf>
    <xf numFmtId="179" fontId="7" fillId="0" borderId="3" xfId="1" applyNumberFormat="1" applyFont="1" applyFill="1" applyBorder="1" applyProtection="1">
      <alignment vertical="center"/>
    </xf>
    <xf numFmtId="179" fontId="3" fillId="0" borderId="3" xfId="1" applyNumberFormat="1" applyFont="1" applyFill="1" applyBorder="1" applyProtection="1">
      <alignment vertical="center"/>
    </xf>
    <xf numFmtId="0" fontId="3" fillId="0" borderId="6" xfId="0" applyFont="1" applyBorder="1">
      <alignment vertical="center"/>
    </xf>
    <xf numFmtId="0" fontId="3" fillId="6" borderId="11"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left" vertical="center"/>
    </xf>
    <xf numFmtId="38" fontId="3" fillId="8" borderId="8" xfId="1" applyFont="1" applyFill="1" applyBorder="1" applyProtection="1">
      <alignment vertical="center"/>
    </xf>
    <xf numFmtId="0" fontId="3" fillId="8" borderId="3" xfId="0" applyFont="1" applyFill="1" applyBorder="1">
      <alignment vertical="center"/>
    </xf>
    <xf numFmtId="0" fontId="3" fillId="8" borderId="3" xfId="0" applyFont="1" applyFill="1" applyBorder="1" applyAlignment="1">
      <alignment horizontal="center" vertical="center" shrinkToFit="1"/>
    </xf>
    <xf numFmtId="0" fontId="3" fillId="4" borderId="8" xfId="0" applyFont="1" applyFill="1" applyBorder="1">
      <alignment vertical="center"/>
    </xf>
    <xf numFmtId="0" fontId="3" fillId="6" borderId="3" xfId="0" applyFont="1" applyFill="1" applyBorder="1">
      <alignment vertical="center"/>
    </xf>
    <xf numFmtId="0" fontId="3" fillId="8" borderId="5" xfId="0" applyFont="1" applyFill="1" applyBorder="1">
      <alignment vertical="center"/>
    </xf>
    <xf numFmtId="0" fontId="3" fillId="0" borderId="4" xfId="0" applyFont="1" applyBorder="1">
      <alignment vertical="center"/>
    </xf>
    <xf numFmtId="0" fontId="3" fillId="0" borderId="19" xfId="0" applyFont="1" applyBorder="1">
      <alignment vertical="center"/>
    </xf>
    <xf numFmtId="0" fontId="3" fillId="0" borderId="13" xfId="0" applyFont="1" applyBorder="1">
      <alignment vertical="center"/>
    </xf>
    <xf numFmtId="0" fontId="7" fillId="0" borderId="0" xfId="0" applyFont="1" applyAlignment="1">
      <alignment horizontal="left" vertical="center"/>
    </xf>
    <xf numFmtId="0" fontId="7" fillId="7" borderId="30" xfId="0" applyFont="1" applyFill="1" applyBorder="1">
      <alignment vertical="center"/>
    </xf>
    <xf numFmtId="40" fontId="7" fillId="7" borderId="6" xfId="0" applyNumberFormat="1" applyFont="1" applyFill="1" applyBorder="1" applyAlignment="1">
      <alignment horizontal="left" vertical="center" wrapText="1"/>
    </xf>
    <xf numFmtId="40" fontId="7" fillId="7" borderId="6" xfId="0" applyNumberFormat="1" applyFont="1" applyFill="1" applyBorder="1" applyAlignment="1">
      <alignment horizontal="right" vertical="center"/>
    </xf>
    <xf numFmtId="40" fontId="7" fillId="7" borderId="5" xfId="0" applyNumberFormat="1" applyFont="1" applyFill="1" applyBorder="1" applyAlignment="1">
      <alignment horizontal="left" vertical="center" wrapText="1"/>
    </xf>
    <xf numFmtId="0" fontId="7" fillId="7" borderId="3" xfId="0" applyFont="1" applyFill="1" applyBorder="1" applyAlignment="1">
      <alignment horizontal="left" vertical="center" shrinkToFit="1"/>
    </xf>
    <xf numFmtId="0" fontId="7" fillId="7" borderId="31" xfId="0" applyFont="1" applyFill="1" applyBorder="1">
      <alignment vertical="center"/>
    </xf>
    <xf numFmtId="177" fontId="7" fillId="7" borderId="6" xfId="0" applyNumberFormat="1" applyFont="1" applyFill="1" applyBorder="1" applyAlignment="1">
      <alignment horizontal="right" vertical="center"/>
    </xf>
    <xf numFmtId="0" fontId="7" fillId="7" borderId="4" xfId="0" applyFont="1" applyFill="1" applyBorder="1">
      <alignment vertical="center"/>
    </xf>
    <xf numFmtId="178" fontId="7" fillId="7" borderId="6" xfId="0" applyNumberFormat="1" applyFont="1" applyFill="1" applyBorder="1" applyAlignment="1">
      <alignment horizontal="right" vertical="center"/>
    </xf>
    <xf numFmtId="0" fontId="3" fillId="0" borderId="0" xfId="0" applyFont="1" applyAlignment="1">
      <alignment horizontal="center" vertical="center"/>
    </xf>
    <xf numFmtId="0" fontId="7" fillId="7" borderId="10" xfId="0" applyFont="1" applyFill="1" applyBorder="1">
      <alignment vertical="center"/>
    </xf>
    <xf numFmtId="38" fontId="7" fillId="7" borderId="15" xfId="0" applyNumberFormat="1" applyFont="1" applyFill="1" applyBorder="1" applyAlignment="1">
      <alignment horizontal="right" vertical="center"/>
    </xf>
    <xf numFmtId="0" fontId="13" fillId="0" borderId="0" xfId="4">
      <alignment vertical="center"/>
    </xf>
    <xf numFmtId="0" fontId="3" fillId="0" borderId="0" xfId="4" applyFont="1" applyAlignment="1">
      <alignment horizontal="right" vertical="center"/>
    </xf>
    <xf numFmtId="0" fontId="5" fillId="4" borderId="3" xfId="4" applyFont="1" applyFill="1" applyBorder="1" applyAlignment="1">
      <alignment horizontal="center" vertical="center" wrapText="1"/>
    </xf>
    <xf numFmtId="0" fontId="7" fillId="0" borderId="3" xfId="4" applyFont="1" applyBorder="1" applyAlignment="1" applyProtection="1">
      <alignment vertical="center" wrapText="1"/>
      <protection locked="0"/>
    </xf>
    <xf numFmtId="183" fontId="7" fillId="5" borderId="1" xfId="0" applyNumberFormat="1" applyFont="1" applyFill="1" applyBorder="1">
      <alignment vertical="center"/>
    </xf>
    <xf numFmtId="180" fontId="7" fillId="5" borderId="20" xfId="1" applyNumberFormat="1" applyFont="1" applyFill="1" applyBorder="1" applyAlignment="1" applyProtection="1">
      <alignment vertical="center" wrapText="1"/>
    </xf>
    <xf numFmtId="185" fontId="7" fillId="5" borderId="20" xfId="1" applyNumberFormat="1" applyFont="1" applyFill="1" applyBorder="1" applyAlignment="1" applyProtection="1">
      <alignment vertical="center" wrapText="1"/>
    </xf>
    <xf numFmtId="0" fontId="7" fillId="0" borderId="1" xfId="0" quotePrefix="1" applyFont="1" applyBorder="1" applyAlignment="1" applyProtection="1">
      <alignment horizontal="center" vertical="center" wrapText="1"/>
      <protection locked="0"/>
    </xf>
    <xf numFmtId="0" fontId="7" fillId="0" borderId="2" xfId="0" quotePrefix="1" applyFont="1" applyBorder="1" applyAlignment="1" applyProtection="1">
      <alignment horizontal="center" vertical="center" wrapText="1"/>
      <protection locked="0"/>
    </xf>
    <xf numFmtId="0" fontId="7" fillId="0" borderId="16" xfId="0" quotePrefix="1" applyFont="1" applyBorder="1" applyAlignment="1" applyProtection="1">
      <alignment horizontal="center" vertical="center" wrapText="1"/>
      <protection locked="0"/>
    </xf>
    <xf numFmtId="0" fontId="7" fillId="0" borderId="14" xfId="0" quotePrefix="1" applyFont="1" applyBorder="1" applyAlignment="1" applyProtection="1">
      <alignment horizontal="center" vertical="center" wrapText="1"/>
      <protection locked="0"/>
    </xf>
    <xf numFmtId="0" fontId="7" fillId="0" borderId="1" xfId="0" applyFont="1" applyBorder="1" applyAlignment="1" applyProtection="1">
      <alignment vertical="center" shrinkToFit="1"/>
      <protection locked="0"/>
    </xf>
    <xf numFmtId="0" fontId="11" fillId="0" borderId="0" xfId="4" applyFont="1">
      <alignment vertical="center"/>
    </xf>
    <xf numFmtId="0" fontId="7" fillId="0" borderId="0" xfId="4" applyFont="1" applyAlignment="1" applyProtection="1">
      <alignment vertical="center" wrapText="1"/>
      <protection locked="0"/>
    </xf>
    <xf numFmtId="0" fontId="7" fillId="0" borderId="0" xfId="4" applyFont="1" applyAlignment="1" applyProtection="1">
      <alignment horizontal="left" vertical="center" wrapText="1"/>
      <protection locked="0"/>
    </xf>
    <xf numFmtId="0" fontId="21" fillId="5" borderId="20" xfId="0" applyFont="1" applyFill="1" applyBorder="1" applyAlignment="1">
      <alignment horizontal="center" vertical="center" wrapText="1"/>
    </xf>
    <xf numFmtId="0" fontId="11" fillId="10" borderId="28" xfId="0" applyFont="1" applyFill="1" applyBorder="1" applyAlignment="1">
      <alignment horizontal="center" vertical="center" wrapText="1"/>
    </xf>
    <xf numFmtId="0" fontId="7" fillId="0" borderId="0" xfId="0" applyFont="1" applyAlignment="1">
      <alignment horizontal="right" vertical="center"/>
    </xf>
    <xf numFmtId="180" fontId="7" fillId="9" borderId="20" xfId="1" applyNumberFormat="1" applyFont="1" applyFill="1" applyBorder="1" applyAlignment="1" applyProtection="1">
      <alignment vertical="center" wrapText="1"/>
    </xf>
    <xf numFmtId="180" fontId="10" fillId="10" borderId="20" xfId="1" applyNumberFormat="1" applyFont="1" applyFill="1" applyBorder="1" applyAlignment="1" applyProtection="1">
      <alignment vertical="center" wrapText="1"/>
    </xf>
    <xf numFmtId="183" fontId="7" fillId="5" borderId="1" xfId="0" applyNumberFormat="1" applyFont="1" applyFill="1" applyBorder="1" applyAlignment="1">
      <alignment horizontal="center" vertical="center"/>
    </xf>
    <xf numFmtId="179" fontId="7" fillId="5" borderId="20" xfId="0" applyNumberFormat="1" applyFont="1" applyFill="1" applyBorder="1" applyAlignment="1">
      <alignment horizontal="center" vertical="center" wrapText="1"/>
    </xf>
    <xf numFmtId="0" fontId="7" fillId="0" borderId="4" xfId="4" applyFont="1" applyBorder="1" applyAlignment="1" applyProtection="1">
      <alignment horizontal="left" vertical="center" wrapText="1"/>
      <protection locked="0"/>
    </xf>
    <xf numFmtId="0" fontId="7" fillId="0" borderId="6" xfId="4" applyFont="1" applyBorder="1" applyAlignment="1" applyProtection="1">
      <alignment horizontal="left" vertical="center" wrapText="1"/>
      <protection locked="0"/>
    </xf>
    <xf numFmtId="183" fontId="11" fillId="0" borderId="37" xfId="0" applyNumberFormat="1" applyFont="1" applyBorder="1" applyAlignment="1" applyProtection="1">
      <alignment vertical="center" wrapText="1"/>
      <protection locked="0"/>
    </xf>
    <xf numFmtId="0" fontId="7" fillId="0" borderId="38" xfId="4" applyFont="1" applyBorder="1" applyAlignment="1" applyProtection="1">
      <alignment vertical="center" wrapText="1"/>
      <protection locked="0"/>
    </xf>
    <xf numFmtId="0" fontId="7" fillId="0" borderId="39" xfId="4" applyFont="1" applyBorder="1" applyAlignment="1" applyProtection="1">
      <alignment vertical="center" wrapText="1"/>
      <protection locked="0"/>
    </xf>
    <xf numFmtId="0" fontId="7" fillId="0" borderId="37" xfId="4" applyFont="1" applyBorder="1" applyAlignment="1" applyProtection="1">
      <alignment vertical="center" wrapText="1"/>
      <protection locked="0"/>
    </xf>
    <xf numFmtId="0" fontId="7" fillId="0" borderId="40" xfId="4" applyFont="1" applyBorder="1" applyAlignment="1" applyProtection="1">
      <alignment vertical="center" wrapText="1"/>
      <protection locked="0"/>
    </xf>
    <xf numFmtId="0" fontId="7" fillId="0" borderId="41" xfId="4" applyFont="1" applyBorder="1" applyAlignment="1" applyProtection="1">
      <alignment vertical="center" wrapText="1"/>
      <protection locked="0"/>
    </xf>
    <xf numFmtId="0" fontId="7" fillId="0" borderId="42" xfId="4" applyFont="1" applyBorder="1" applyAlignment="1" applyProtection="1">
      <alignment horizontal="left" vertical="center" wrapText="1"/>
      <protection locked="0"/>
    </xf>
    <xf numFmtId="0" fontId="7" fillId="0" borderId="43" xfId="4" applyFont="1" applyBorder="1" applyAlignment="1" applyProtection="1">
      <alignment horizontal="left" vertical="center" wrapText="1"/>
      <protection locked="0"/>
    </xf>
    <xf numFmtId="0" fontId="7" fillId="0" borderId="44" xfId="4" applyFont="1" applyBorder="1" applyAlignment="1" applyProtection="1">
      <alignment vertical="center" wrapText="1"/>
      <protection locked="0"/>
    </xf>
    <xf numFmtId="0" fontId="7" fillId="0" borderId="45" xfId="4"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3" fillId="0" borderId="3" xfId="0" applyFont="1" applyBorder="1" applyAlignment="1">
      <alignment vertical="center" wrapText="1"/>
    </xf>
    <xf numFmtId="0" fontId="7" fillId="5" borderId="18" xfId="0" applyFont="1" applyFill="1" applyBorder="1" applyAlignment="1">
      <alignment vertical="center" wrapText="1"/>
    </xf>
    <xf numFmtId="0" fontId="7" fillId="5" borderId="17" xfId="0" applyFont="1" applyFill="1" applyBorder="1" applyAlignment="1">
      <alignment vertical="center" wrapText="1"/>
    </xf>
    <xf numFmtId="0" fontId="7" fillId="5" borderId="1"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8"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0" borderId="18"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40" fontId="7" fillId="5" borderId="20" xfId="1" applyNumberFormat="1" applyFont="1" applyFill="1" applyBorder="1" applyAlignment="1" applyProtection="1">
      <alignment horizontal="center" vertical="center" wrapText="1"/>
    </xf>
    <xf numFmtId="0" fontId="7" fillId="5" borderId="20" xfId="0" applyFont="1" applyFill="1" applyBorder="1" applyAlignment="1">
      <alignment horizontal="center" vertical="center" wrapText="1"/>
    </xf>
    <xf numFmtId="0" fontId="10" fillId="10" borderId="20" xfId="0" applyFont="1" applyFill="1" applyBorder="1" applyAlignment="1">
      <alignment horizontal="left" vertical="center" wrapText="1"/>
    </xf>
    <xf numFmtId="0" fontId="10" fillId="10" borderId="29"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10" fillId="10" borderId="27" xfId="0" applyFont="1" applyFill="1" applyBorder="1" applyAlignment="1">
      <alignment horizontal="center" vertical="center" wrapText="1"/>
    </xf>
    <xf numFmtId="40" fontId="10" fillId="10" borderId="20" xfId="1" applyNumberFormat="1" applyFont="1" applyFill="1" applyBorder="1" applyAlignment="1" applyProtection="1">
      <alignment horizontal="left" vertical="center"/>
    </xf>
    <xf numFmtId="0" fontId="10" fillId="10" borderId="21"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10" fillId="10" borderId="25" xfId="0" applyFont="1" applyFill="1" applyBorder="1" applyAlignment="1">
      <alignment horizontal="left" vertical="center" wrapText="1"/>
    </xf>
    <xf numFmtId="0" fontId="7" fillId="5" borderId="20" xfId="0" applyFont="1" applyFill="1" applyBorder="1" applyAlignment="1">
      <alignment vertical="center" wrapText="1"/>
    </xf>
    <xf numFmtId="179" fontId="7" fillId="5" borderId="20" xfId="1" applyNumberFormat="1" applyFont="1" applyFill="1" applyBorder="1" applyAlignment="1" applyProtection="1">
      <alignment vertical="center" wrapText="1"/>
    </xf>
    <xf numFmtId="0" fontId="10" fillId="10" borderId="21" xfId="0" applyFont="1" applyFill="1" applyBorder="1" applyAlignment="1">
      <alignment horizontal="left" wrapText="1"/>
    </xf>
    <xf numFmtId="0" fontId="10" fillId="10" borderId="22" xfId="0" applyFont="1" applyFill="1" applyBorder="1" applyAlignment="1">
      <alignment horizontal="left" wrapText="1"/>
    </xf>
    <xf numFmtId="0" fontId="10" fillId="10" borderId="23" xfId="0" applyFont="1" applyFill="1" applyBorder="1" applyAlignment="1">
      <alignment horizontal="left" wrapText="1"/>
    </xf>
    <xf numFmtId="0" fontId="10" fillId="10" borderId="24" xfId="0" applyFont="1" applyFill="1" applyBorder="1" applyAlignment="1">
      <alignment horizontal="left" wrapText="1"/>
    </xf>
    <xf numFmtId="0" fontId="10" fillId="10" borderId="25" xfId="0" applyFont="1" applyFill="1" applyBorder="1" applyAlignment="1">
      <alignment horizontal="left" wrapText="1"/>
    </xf>
    <xf numFmtId="0" fontId="10" fillId="10" borderId="26" xfId="0" applyFont="1" applyFill="1" applyBorder="1" applyAlignment="1">
      <alignment horizontal="left" wrapText="1"/>
    </xf>
    <xf numFmtId="38" fontId="7" fillId="5" borderId="20" xfId="1" applyFont="1" applyFill="1" applyBorder="1" applyAlignment="1" applyProtection="1">
      <alignment vertical="center" wrapText="1"/>
    </xf>
    <xf numFmtId="0" fontId="7" fillId="0" borderId="4"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5" borderId="0" xfId="0" applyFont="1" applyFill="1" applyAlignment="1">
      <alignment horizontal="left" vertical="center" wrapText="1"/>
    </xf>
    <xf numFmtId="0" fontId="7" fillId="0" borderId="4" xfId="4" applyFont="1" applyBorder="1" applyAlignment="1" applyProtection="1">
      <alignment horizontal="left" vertical="center" wrapText="1"/>
      <protection locked="0"/>
    </xf>
    <xf numFmtId="0" fontId="7" fillId="0" borderId="6" xfId="4" applyFont="1" applyBorder="1" applyAlignment="1" applyProtection="1">
      <alignment horizontal="left" vertical="center" wrapText="1"/>
      <protection locked="0"/>
    </xf>
    <xf numFmtId="0" fontId="5" fillId="4" borderId="11" xfId="4" applyFont="1" applyFill="1" applyBorder="1" applyAlignment="1">
      <alignment horizontal="center" vertical="center" wrapText="1"/>
    </xf>
    <xf numFmtId="0" fontId="5" fillId="4" borderId="0" xfId="4" applyFont="1" applyFill="1" applyAlignment="1">
      <alignment horizontal="center" vertical="center" wrapText="1"/>
    </xf>
    <xf numFmtId="0" fontId="7" fillId="0" borderId="46" xfId="4" applyFont="1" applyBorder="1" applyAlignment="1" applyProtection="1">
      <alignment horizontal="left" vertical="center" wrapText="1"/>
      <protection locked="0"/>
    </xf>
    <xf numFmtId="0" fontId="7" fillId="0" borderId="40" xfId="4" applyFont="1" applyBorder="1" applyAlignment="1" applyProtection="1">
      <alignment horizontal="left" vertical="center" wrapText="1"/>
      <protection locked="0"/>
    </xf>
    <xf numFmtId="0" fontId="8" fillId="3" borderId="0" xfId="4" applyFont="1" applyFill="1" applyAlignment="1">
      <alignment horizontal="left" vertical="center"/>
    </xf>
    <xf numFmtId="0" fontId="7" fillId="5" borderId="1" xfId="0" applyFont="1" applyFill="1" applyBorder="1" applyAlignment="1">
      <alignment horizontal="left" vertical="center" wrapText="1"/>
    </xf>
    <xf numFmtId="181" fontId="7" fillId="5" borderId="1" xfId="0" applyNumberFormat="1"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7" fillId="0" borderId="5" xfId="4" applyFont="1" applyBorder="1" applyAlignment="1" applyProtection="1">
      <alignment horizontal="left" vertical="center" wrapText="1"/>
      <protection locked="0"/>
    </xf>
  </cellXfs>
  <cellStyles count="5">
    <cellStyle name="40% - アクセント 6 2" xfId="3" xr:uid="{BA52B9AC-6BAF-4B09-87DD-32A152177D8F}"/>
    <cellStyle name="ハイパーリンク" xfId="2" builtinId="8"/>
    <cellStyle name="桁区切り" xfId="1" builtinId="6"/>
    <cellStyle name="標準" xfId="0" builtinId="0"/>
    <cellStyle name="標準 3" xfId="4" xr:uid="{03807C12-5AB3-4E42-ABCA-D68DB7BC9E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92"/>
  <sheetViews>
    <sheetView tabSelected="1" view="pageBreakPreview" zoomScaleNormal="100" zoomScaleSheetLayoutView="100" workbookViewId="0"/>
  </sheetViews>
  <sheetFormatPr defaultColWidth="9" defaultRowHeight="14" x14ac:dyDescent="0.2"/>
  <cols>
    <col min="1" max="1" width="3.6328125" style="10" customWidth="1"/>
    <col min="2" max="2" width="17.453125" style="10" bestFit="1" customWidth="1"/>
    <col min="3" max="3" width="21.08984375" style="10" bestFit="1" customWidth="1"/>
    <col min="4" max="4" width="39.90625" style="10" customWidth="1"/>
    <col min="5" max="5" width="16.90625" style="10" bestFit="1" customWidth="1"/>
    <col min="6" max="6" width="15.90625" style="11" customWidth="1"/>
    <col min="7" max="7" width="15.453125" style="10" customWidth="1"/>
    <col min="8" max="8" width="21.36328125" style="10" customWidth="1"/>
    <col min="9" max="9" width="63.453125" style="11" customWidth="1"/>
    <col min="10" max="10" width="15.90625" style="11" customWidth="1"/>
    <col min="11" max="11" width="26.453125" style="10" customWidth="1"/>
    <col min="12" max="16384" width="9" style="10"/>
  </cols>
  <sheetData>
    <row r="1" spans="1:11" x14ac:dyDescent="0.2">
      <c r="K1" s="176" t="s">
        <v>0</v>
      </c>
    </row>
    <row r="2" spans="1:11" x14ac:dyDescent="0.2">
      <c r="K2" s="3" t="s">
        <v>492</v>
      </c>
    </row>
    <row r="3" spans="1:11" ht="15.5" x14ac:dyDescent="0.2">
      <c r="A3" s="4" t="s">
        <v>1</v>
      </c>
      <c r="B3" s="5"/>
      <c r="C3" s="5"/>
      <c r="D3" s="5"/>
      <c r="E3" s="5"/>
      <c r="F3" s="12"/>
      <c r="G3" s="5"/>
      <c r="H3" s="5"/>
      <c r="I3" s="12"/>
      <c r="J3" s="12"/>
      <c r="K3" s="13"/>
    </row>
    <row r="5" spans="1:11" x14ac:dyDescent="0.2">
      <c r="A5" s="14" t="s">
        <v>2</v>
      </c>
      <c r="B5" s="14"/>
    </row>
    <row r="6" spans="1:11" x14ac:dyDescent="0.2">
      <c r="A6" s="14"/>
      <c r="B6" s="15" t="s">
        <v>3</v>
      </c>
      <c r="C6" s="15" t="s">
        <v>4</v>
      </c>
      <c r="D6" s="15" t="s">
        <v>5</v>
      </c>
      <c r="E6" s="15" t="s">
        <v>6</v>
      </c>
      <c r="F6" s="15" t="s">
        <v>7</v>
      </c>
      <c r="G6" s="15" t="s">
        <v>8</v>
      </c>
      <c r="H6" s="15" t="s">
        <v>9</v>
      </c>
      <c r="I6" s="15" t="s">
        <v>10</v>
      </c>
      <c r="J6" s="15" t="s">
        <v>11</v>
      </c>
      <c r="K6" s="15" t="s">
        <v>12</v>
      </c>
    </row>
    <row r="7" spans="1:11" s="11" customFormat="1" ht="28" x14ac:dyDescent="0.2">
      <c r="B7" s="15" t="s">
        <v>13</v>
      </c>
      <c r="C7" s="15" t="s">
        <v>14</v>
      </c>
      <c r="D7" s="15" t="s">
        <v>15</v>
      </c>
      <c r="E7" s="15" t="s">
        <v>16</v>
      </c>
      <c r="F7" s="15" t="s">
        <v>17</v>
      </c>
      <c r="G7" s="15" t="s">
        <v>18</v>
      </c>
      <c r="H7" s="15" t="s">
        <v>19</v>
      </c>
      <c r="I7" s="15" t="s">
        <v>20</v>
      </c>
      <c r="J7" s="15" t="s">
        <v>21</v>
      </c>
      <c r="K7" s="15" t="s">
        <v>22</v>
      </c>
    </row>
    <row r="8" spans="1:11" s="16" customFormat="1" ht="45" customHeight="1" x14ac:dyDescent="0.2">
      <c r="B8" s="17" t="s">
        <v>23</v>
      </c>
      <c r="C8" s="18" t="s">
        <v>24</v>
      </c>
      <c r="D8" s="19" t="s">
        <v>25</v>
      </c>
      <c r="E8" s="20" t="s">
        <v>26</v>
      </c>
      <c r="F8" s="19" t="s">
        <v>27</v>
      </c>
      <c r="G8" s="6" t="s">
        <v>28</v>
      </c>
      <c r="H8" s="6" t="s">
        <v>29</v>
      </c>
      <c r="I8" s="7" t="s">
        <v>26</v>
      </c>
      <c r="J8" s="7" t="s">
        <v>26</v>
      </c>
      <c r="K8" s="7" t="s">
        <v>30</v>
      </c>
    </row>
    <row r="9" spans="1:11" s="16" customFormat="1" ht="45" customHeight="1" x14ac:dyDescent="0.2">
      <c r="B9" s="17" t="s">
        <v>31</v>
      </c>
      <c r="C9" s="18" t="s">
        <v>32</v>
      </c>
      <c r="D9" s="19" t="s">
        <v>33</v>
      </c>
      <c r="E9" s="20" t="s">
        <v>26</v>
      </c>
      <c r="F9" s="19" t="s">
        <v>27</v>
      </c>
      <c r="G9" s="6" t="s">
        <v>28</v>
      </c>
      <c r="H9" s="6" t="s">
        <v>29</v>
      </c>
      <c r="I9" s="7" t="s">
        <v>26</v>
      </c>
      <c r="J9" s="7" t="s">
        <v>26</v>
      </c>
      <c r="K9" s="7" t="s">
        <v>30</v>
      </c>
    </row>
    <row r="10" spans="1:11" s="16" customFormat="1" ht="45" customHeight="1" x14ac:dyDescent="0.2">
      <c r="B10" s="17" t="s">
        <v>34</v>
      </c>
      <c r="C10" s="18" t="s">
        <v>35</v>
      </c>
      <c r="D10" s="19" t="s">
        <v>36</v>
      </c>
      <c r="E10" s="20" t="s">
        <v>26</v>
      </c>
      <c r="F10" s="19" t="s">
        <v>37</v>
      </c>
      <c r="G10" s="6" t="s">
        <v>38</v>
      </c>
      <c r="H10" s="6" t="s">
        <v>39</v>
      </c>
      <c r="I10" s="6" t="s">
        <v>40</v>
      </c>
      <c r="J10" s="6" t="s">
        <v>41</v>
      </c>
      <c r="K10" s="7" t="s">
        <v>30</v>
      </c>
    </row>
    <row r="11" spans="1:11" s="16" customFormat="1" ht="45" customHeight="1" x14ac:dyDescent="0.2">
      <c r="B11" s="17" t="s">
        <v>42</v>
      </c>
      <c r="C11" s="18" t="s">
        <v>43</v>
      </c>
      <c r="D11" s="19" t="s">
        <v>44</v>
      </c>
      <c r="E11" s="20" t="s">
        <v>26</v>
      </c>
      <c r="F11" s="19" t="s">
        <v>45</v>
      </c>
      <c r="G11" s="6" t="s">
        <v>46</v>
      </c>
      <c r="H11" s="6" t="s">
        <v>47</v>
      </c>
      <c r="I11" s="6" t="s">
        <v>48</v>
      </c>
      <c r="J11" s="6" t="s">
        <v>41</v>
      </c>
      <c r="K11" s="7" t="s">
        <v>30</v>
      </c>
    </row>
    <row r="12" spans="1:11" s="16" customFormat="1" ht="57.65" customHeight="1" x14ac:dyDescent="0.2">
      <c r="B12" s="17" t="s">
        <v>49</v>
      </c>
      <c r="C12" s="18" t="s">
        <v>50</v>
      </c>
      <c r="D12" s="19" t="s">
        <v>51</v>
      </c>
      <c r="E12" s="20" t="s">
        <v>26</v>
      </c>
      <c r="F12" s="19" t="s">
        <v>52</v>
      </c>
      <c r="G12" s="6" t="s">
        <v>46</v>
      </c>
      <c r="H12" s="6" t="s">
        <v>53</v>
      </c>
      <c r="I12" s="6" t="s">
        <v>54</v>
      </c>
      <c r="J12" s="6" t="s">
        <v>41</v>
      </c>
      <c r="K12" s="7" t="s">
        <v>30</v>
      </c>
    </row>
    <row r="13" spans="1:11" s="16" customFormat="1" ht="45" customHeight="1" x14ac:dyDescent="0.2">
      <c r="B13" s="17" t="s">
        <v>55</v>
      </c>
      <c r="C13" s="18" t="s">
        <v>56</v>
      </c>
      <c r="D13" s="19" t="s">
        <v>57</v>
      </c>
      <c r="E13" s="21" t="s">
        <v>26</v>
      </c>
      <c r="F13" s="19" t="s">
        <v>58</v>
      </c>
      <c r="G13" s="6" t="s">
        <v>59</v>
      </c>
      <c r="H13" s="6" t="s">
        <v>60</v>
      </c>
      <c r="I13" s="6" t="s">
        <v>61</v>
      </c>
      <c r="J13" s="6" t="s">
        <v>62</v>
      </c>
      <c r="K13" s="7" t="s">
        <v>30</v>
      </c>
    </row>
    <row r="14" spans="1:11" s="16" customFormat="1" ht="57" x14ac:dyDescent="0.2">
      <c r="B14" s="17" t="s">
        <v>63</v>
      </c>
      <c r="C14" s="18" t="s">
        <v>64</v>
      </c>
      <c r="D14" s="19" t="s">
        <v>65</v>
      </c>
      <c r="E14" s="20" t="s">
        <v>26</v>
      </c>
      <c r="F14" s="19" t="s">
        <v>66</v>
      </c>
      <c r="G14" s="6" t="s">
        <v>38</v>
      </c>
      <c r="H14" s="6" t="s">
        <v>39</v>
      </c>
      <c r="I14" s="6" t="s">
        <v>67</v>
      </c>
      <c r="J14" s="6" t="s">
        <v>41</v>
      </c>
      <c r="K14" s="7" t="s">
        <v>30</v>
      </c>
    </row>
    <row r="15" spans="1:11" s="16" customFormat="1" ht="85" x14ac:dyDescent="0.2">
      <c r="B15" s="17" t="s">
        <v>68</v>
      </c>
      <c r="C15" s="18" t="s">
        <v>69</v>
      </c>
      <c r="D15" s="19" t="s">
        <v>70</v>
      </c>
      <c r="E15" s="20" t="s">
        <v>26</v>
      </c>
      <c r="F15" s="19" t="s">
        <v>66</v>
      </c>
      <c r="G15" s="6" t="s">
        <v>38</v>
      </c>
      <c r="H15" s="6" t="s">
        <v>39</v>
      </c>
      <c r="I15" s="6" t="s">
        <v>71</v>
      </c>
      <c r="J15" s="6" t="s">
        <v>41</v>
      </c>
      <c r="K15" s="7" t="s">
        <v>30</v>
      </c>
    </row>
    <row r="16" spans="1:11" s="16" customFormat="1" ht="45" customHeight="1" x14ac:dyDescent="0.2">
      <c r="B16" s="17" t="s">
        <v>72</v>
      </c>
      <c r="C16" s="18" t="s">
        <v>73</v>
      </c>
      <c r="D16" s="19" t="s">
        <v>74</v>
      </c>
      <c r="E16" s="20" t="s">
        <v>26</v>
      </c>
      <c r="F16" s="19" t="s">
        <v>75</v>
      </c>
      <c r="G16" s="6" t="s">
        <v>28</v>
      </c>
      <c r="H16" s="6" t="s">
        <v>76</v>
      </c>
      <c r="I16" s="6" t="s">
        <v>26</v>
      </c>
      <c r="J16" s="6" t="s">
        <v>62</v>
      </c>
      <c r="K16" s="7" t="s">
        <v>30</v>
      </c>
    </row>
    <row r="17" spans="1:11" s="16" customFormat="1" ht="45" customHeight="1" x14ac:dyDescent="0.2">
      <c r="B17" s="17" t="s">
        <v>77</v>
      </c>
      <c r="C17" s="18" t="s">
        <v>78</v>
      </c>
      <c r="D17" s="19" t="s">
        <v>79</v>
      </c>
      <c r="E17" s="20" t="s">
        <v>26</v>
      </c>
      <c r="F17" s="19" t="s">
        <v>75</v>
      </c>
      <c r="G17" s="6" t="s">
        <v>28</v>
      </c>
      <c r="H17" s="6" t="s">
        <v>80</v>
      </c>
      <c r="I17" s="6" t="s">
        <v>26</v>
      </c>
      <c r="J17" s="6" t="s">
        <v>62</v>
      </c>
      <c r="K17" s="7" t="s">
        <v>30</v>
      </c>
    </row>
    <row r="18" spans="1:11" s="16" customFormat="1" ht="70.650000000000006" customHeight="1" x14ac:dyDescent="0.2">
      <c r="B18" s="17" t="s">
        <v>81</v>
      </c>
      <c r="C18" s="18" t="s">
        <v>82</v>
      </c>
      <c r="D18" s="19" t="s">
        <v>83</v>
      </c>
      <c r="E18" s="20" t="s">
        <v>26</v>
      </c>
      <c r="F18" s="19" t="s">
        <v>84</v>
      </c>
      <c r="G18" s="6" t="s">
        <v>59</v>
      </c>
      <c r="H18" s="6" t="s">
        <v>85</v>
      </c>
      <c r="I18" s="6" t="s">
        <v>86</v>
      </c>
      <c r="J18" s="6" t="s">
        <v>41</v>
      </c>
      <c r="K18" s="7" t="s">
        <v>30</v>
      </c>
    </row>
    <row r="19" spans="1:11" s="16" customFormat="1" ht="57.5" x14ac:dyDescent="0.2">
      <c r="B19" s="17" t="s">
        <v>87</v>
      </c>
      <c r="C19" s="18" t="s">
        <v>88</v>
      </c>
      <c r="D19" s="19" t="s">
        <v>89</v>
      </c>
      <c r="E19" s="20" t="s">
        <v>26</v>
      </c>
      <c r="F19" s="19" t="s">
        <v>27</v>
      </c>
      <c r="G19" s="6" t="s">
        <v>46</v>
      </c>
      <c r="H19" s="6" t="s">
        <v>47</v>
      </c>
      <c r="I19" s="6" t="s">
        <v>90</v>
      </c>
      <c r="J19" s="6" t="s">
        <v>41</v>
      </c>
      <c r="K19" s="7" t="s">
        <v>30</v>
      </c>
    </row>
    <row r="20" spans="1:11" s="16" customFormat="1" ht="45" customHeight="1" x14ac:dyDescent="0.2">
      <c r="B20" s="17" t="s">
        <v>91</v>
      </c>
      <c r="C20" s="18" t="s">
        <v>92</v>
      </c>
      <c r="D20" s="19" t="s">
        <v>93</v>
      </c>
      <c r="E20" s="20" t="s">
        <v>26</v>
      </c>
      <c r="F20" s="19" t="s">
        <v>94</v>
      </c>
      <c r="G20" s="6" t="s">
        <v>59</v>
      </c>
      <c r="H20" s="6" t="s">
        <v>95</v>
      </c>
      <c r="I20" s="6" t="s">
        <v>96</v>
      </c>
      <c r="J20" s="6" t="s">
        <v>62</v>
      </c>
      <c r="K20" s="7" t="s">
        <v>30</v>
      </c>
    </row>
    <row r="21" spans="1:11" s="16" customFormat="1" ht="45" customHeight="1" x14ac:dyDescent="0.2">
      <c r="B21" s="17" t="s">
        <v>97</v>
      </c>
      <c r="C21" s="18" t="s">
        <v>98</v>
      </c>
      <c r="D21" s="19" t="s">
        <v>99</v>
      </c>
      <c r="E21" s="20" t="s">
        <v>26</v>
      </c>
      <c r="F21" s="19" t="s">
        <v>94</v>
      </c>
      <c r="G21" s="6" t="s">
        <v>59</v>
      </c>
      <c r="H21" s="6" t="s">
        <v>95</v>
      </c>
      <c r="I21" s="6" t="s">
        <v>96</v>
      </c>
      <c r="J21" s="6" t="s">
        <v>62</v>
      </c>
      <c r="K21" s="7" t="s">
        <v>30</v>
      </c>
    </row>
    <row r="22" spans="1:11" s="16" customFormat="1" ht="42.9" customHeight="1" x14ac:dyDescent="0.2">
      <c r="B22" s="17" t="s">
        <v>100</v>
      </c>
      <c r="C22" s="18" t="s">
        <v>101</v>
      </c>
      <c r="D22" s="19" t="s">
        <v>102</v>
      </c>
      <c r="E22" s="20" t="s">
        <v>26</v>
      </c>
      <c r="F22" s="19" t="s">
        <v>103</v>
      </c>
      <c r="G22" s="6" t="s">
        <v>28</v>
      </c>
      <c r="H22" s="6" t="s">
        <v>80</v>
      </c>
      <c r="I22" s="6" t="s">
        <v>104</v>
      </c>
      <c r="J22" s="6" t="s">
        <v>62</v>
      </c>
      <c r="K22" s="7" t="s">
        <v>30</v>
      </c>
    </row>
    <row r="23" spans="1:11" s="16" customFormat="1" ht="42.9" customHeight="1" x14ac:dyDescent="0.2">
      <c r="B23" s="17" t="s">
        <v>105</v>
      </c>
      <c r="C23" s="18" t="s">
        <v>106</v>
      </c>
      <c r="D23" s="19" t="s">
        <v>107</v>
      </c>
      <c r="E23" s="20" t="s">
        <v>26</v>
      </c>
      <c r="F23" s="19" t="s">
        <v>103</v>
      </c>
      <c r="G23" s="6" t="s">
        <v>28</v>
      </c>
      <c r="H23" s="6" t="s">
        <v>80</v>
      </c>
      <c r="I23" s="6" t="s">
        <v>104</v>
      </c>
      <c r="J23" s="6" t="s">
        <v>62</v>
      </c>
      <c r="K23" s="7" t="s">
        <v>30</v>
      </c>
    </row>
    <row r="24" spans="1:11" s="16" customFormat="1" ht="45" customHeight="1" x14ac:dyDescent="0.2">
      <c r="B24" s="17" t="s">
        <v>108</v>
      </c>
      <c r="C24" s="18" t="s">
        <v>109</v>
      </c>
      <c r="D24" s="19" t="s">
        <v>110</v>
      </c>
      <c r="E24" s="20" t="s">
        <v>26</v>
      </c>
      <c r="F24" s="19" t="s">
        <v>111</v>
      </c>
      <c r="G24" s="6" t="s">
        <v>46</v>
      </c>
      <c r="H24" s="6" t="s">
        <v>112</v>
      </c>
      <c r="I24" s="6" t="s">
        <v>113</v>
      </c>
      <c r="J24" s="6" t="s">
        <v>62</v>
      </c>
      <c r="K24" s="7" t="s">
        <v>30</v>
      </c>
    </row>
    <row r="25" spans="1:11" s="16" customFormat="1" ht="58.5" x14ac:dyDescent="0.2">
      <c r="B25" s="17" t="s">
        <v>114</v>
      </c>
      <c r="C25" s="22" t="s">
        <v>115</v>
      </c>
      <c r="D25" s="23" t="s">
        <v>116</v>
      </c>
      <c r="E25" s="24" t="s">
        <v>26</v>
      </c>
      <c r="F25" s="19" t="s">
        <v>66</v>
      </c>
      <c r="G25" s="6" t="s">
        <v>38</v>
      </c>
      <c r="H25" s="6" t="s">
        <v>39</v>
      </c>
      <c r="I25" s="6" t="s">
        <v>117</v>
      </c>
      <c r="J25" s="6" t="s">
        <v>41</v>
      </c>
      <c r="K25" s="7" t="s">
        <v>30</v>
      </c>
    </row>
    <row r="26" spans="1:11" s="16" customFormat="1" ht="44.5" x14ac:dyDescent="0.2">
      <c r="B26" s="17" t="s">
        <v>118</v>
      </c>
      <c r="C26" s="25" t="s">
        <v>119</v>
      </c>
      <c r="D26" s="26" t="s">
        <v>120</v>
      </c>
      <c r="E26" s="27" t="s">
        <v>26</v>
      </c>
      <c r="F26" s="19" t="s">
        <v>66</v>
      </c>
      <c r="G26" s="6" t="s">
        <v>38</v>
      </c>
      <c r="H26" s="6" t="s">
        <v>39</v>
      </c>
      <c r="I26" s="6" t="s">
        <v>121</v>
      </c>
      <c r="J26" s="6" t="s">
        <v>41</v>
      </c>
      <c r="K26" s="7" t="s">
        <v>30</v>
      </c>
    </row>
    <row r="27" spans="1:11" s="16" customFormat="1" ht="42.5" x14ac:dyDescent="0.2">
      <c r="B27" s="17" t="s">
        <v>122</v>
      </c>
      <c r="C27" s="28" t="s">
        <v>123</v>
      </c>
      <c r="D27" s="29" t="s">
        <v>124</v>
      </c>
      <c r="E27" s="30" t="s">
        <v>26</v>
      </c>
      <c r="F27" s="19" t="s">
        <v>66</v>
      </c>
      <c r="G27" s="6" t="s">
        <v>38</v>
      </c>
      <c r="H27" s="6" t="s">
        <v>39</v>
      </c>
      <c r="I27" s="6" t="s">
        <v>125</v>
      </c>
      <c r="J27" s="6" t="s">
        <v>41</v>
      </c>
      <c r="K27" s="7" t="s">
        <v>30</v>
      </c>
    </row>
    <row r="28" spans="1:11" x14ac:dyDescent="0.2">
      <c r="B28" s="31"/>
      <c r="C28" s="32"/>
      <c r="D28" s="33"/>
      <c r="E28" s="34"/>
      <c r="F28" s="33"/>
      <c r="G28" s="35"/>
      <c r="H28" s="35"/>
      <c r="I28" s="36"/>
      <c r="J28" s="36"/>
      <c r="K28" s="35"/>
    </row>
    <row r="30" spans="1:11" x14ac:dyDescent="0.2">
      <c r="A30" s="14" t="s">
        <v>126</v>
      </c>
    </row>
    <row r="31" spans="1:11" x14ac:dyDescent="0.2">
      <c r="B31" s="15" t="s">
        <v>3</v>
      </c>
      <c r="C31" s="206" t="s">
        <v>4</v>
      </c>
      <c r="D31" s="206"/>
      <c r="E31" s="15" t="s">
        <v>5</v>
      </c>
      <c r="F31" s="15" t="s">
        <v>6</v>
      </c>
      <c r="G31" s="206" t="s">
        <v>7</v>
      </c>
      <c r="H31" s="206"/>
      <c r="I31" s="206"/>
      <c r="J31" s="206" t="s">
        <v>8</v>
      </c>
      <c r="K31" s="206"/>
    </row>
    <row r="32" spans="1:11" x14ac:dyDescent="0.2">
      <c r="B32" s="37" t="s">
        <v>14</v>
      </c>
      <c r="C32" s="207" t="s">
        <v>15</v>
      </c>
      <c r="D32" s="207"/>
      <c r="E32" s="37" t="s">
        <v>16</v>
      </c>
      <c r="F32" s="37" t="s">
        <v>17</v>
      </c>
      <c r="G32" s="207" t="s">
        <v>19</v>
      </c>
      <c r="H32" s="207"/>
      <c r="I32" s="207"/>
      <c r="J32" s="207" t="s">
        <v>22</v>
      </c>
      <c r="K32" s="207"/>
    </row>
    <row r="33" spans="2:11" s="16" customFormat="1" ht="33" customHeight="1" x14ac:dyDescent="0.2">
      <c r="B33" s="18" t="s">
        <v>127</v>
      </c>
      <c r="C33" s="197" t="s">
        <v>128</v>
      </c>
      <c r="D33" s="198"/>
      <c r="E33" s="21" t="s">
        <v>26</v>
      </c>
      <c r="F33" s="18" t="s">
        <v>27</v>
      </c>
      <c r="G33" s="195" t="s">
        <v>129</v>
      </c>
      <c r="H33" s="195"/>
      <c r="I33" s="195"/>
      <c r="J33" s="193" t="s">
        <v>130</v>
      </c>
      <c r="K33" s="193"/>
    </row>
    <row r="34" spans="2:11" s="16" customFormat="1" ht="33.65" customHeight="1" x14ac:dyDescent="0.2">
      <c r="B34" s="18" t="s">
        <v>131</v>
      </c>
      <c r="C34" s="194" t="s">
        <v>132</v>
      </c>
      <c r="D34" s="194"/>
      <c r="E34" s="21" t="s">
        <v>26</v>
      </c>
      <c r="F34" s="18" t="s">
        <v>27</v>
      </c>
      <c r="G34" s="195" t="s">
        <v>129</v>
      </c>
      <c r="H34" s="195"/>
      <c r="I34" s="195"/>
      <c r="J34" s="193" t="s">
        <v>130</v>
      </c>
      <c r="K34" s="193"/>
    </row>
    <row r="35" spans="2:11" s="16" customFormat="1" ht="33.65" customHeight="1" x14ac:dyDescent="0.2">
      <c r="B35" s="18" t="s">
        <v>133</v>
      </c>
      <c r="C35" s="201" t="s">
        <v>134</v>
      </c>
      <c r="D35" s="202"/>
      <c r="E35" s="21" t="s">
        <v>26</v>
      </c>
      <c r="F35" s="18" t="s">
        <v>135</v>
      </c>
      <c r="G35" s="203" t="s">
        <v>136</v>
      </c>
      <c r="H35" s="204"/>
      <c r="I35" s="205"/>
      <c r="J35" s="193" t="s">
        <v>130</v>
      </c>
      <c r="K35" s="193"/>
    </row>
    <row r="36" spans="2:11" s="16" customFormat="1" ht="33.65" customHeight="1" x14ac:dyDescent="0.2">
      <c r="B36" s="18" t="s">
        <v>137</v>
      </c>
      <c r="C36" s="201" t="s">
        <v>138</v>
      </c>
      <c r="D36" s="202"/>
      <c r="E36" s="21" t="s">
        <v>26</v>
      </c>
      <c r="F36" s="18" t="s">
        <v>135</v>
      </c>
      <c r="G36" s="203" t="s">
        <v>139</v>
      </c>
      <c r="H36" s="204"/>
      <c r="I36" s="205"/>
      <c r="J36" s="193" t="s">
        <v>130</v>
      </c>
      <c r="K36" s="193"/>
    </row>
    <row r="37" spans="2:11" s="16" customFormat="1" ht="30" customHeight="1" x14ac:dyDescent="0.2">
      <c r="B37" s="18" t="s">
        <v>140</v>
      </c>
      <c r="C37" s="194" t="s">
        <v>141</v>
      </c>
      <c r="D37" s="194"/>
      <c r="E37" s="8">
        <v>2.4899999999999999E-2</v>
      </c>
      <c r="F37" s="19" t="s">
        <v>111</v>
      </c>
      <c r="G37" s="195" t="s">
        <v>142</v>
      </c>
      <c r="H37" s="195"/>
      <c r="I37" s="195"/>
      <c r="J37" s="193"/>
      <c r="K37" s="193"/>
    </row>
    <row r="38" spans="2:11" s="16" customFormat="1" ht="30" customHeight="1" x14ac:dyDescent="0.2">
      <c r="B38" s="18" t="s">
        <v>143</v>
      </c>
      <c r="C38" s="194" t="s">
        <v>144</v>
      </c>
      <c r="D38" s="194"/>
      <c r="E38" s="8">
        <v>3.09E-2</v>
      </c>
      <c r="F38" s="19" t="s">
        <v>111</v>
      </c>
      <c r="G38" s="195" t="s">
        <v>142</v>
      </c>
      <c r="H38" s="195"/>
      <c r="I38" s="195"/>
      <c r="J38" s="193"/>
      <c r="K38" s="193"/>
    </row>
    <row r="39" spans="2:11" s="16" customFormat="1" ht="30" customHeight="1" x14ac:dyDescent="0.2">
      <c r="B39" s="18" t="s">
        <v>145</v>
      </c>
      <c r="C39" s="194" t="s">
        <v>146</v>
      </c>
      <c r="D39" s="194"/>
      <c r="E39" s="8">
        <v>0</v>
      </c>
      <c r="F39" s="19" t="s">
        <v>111</v>
      </c>
      <c r="G39" s="195" t="s">
        <v>142</v>
      </c>
      <c r="H39" s="195"/>
      <c r="I39" s="195"/>
      <c r="J39" s="193"/>
      <c r="K39" s="193"/>
    </row>
    <row r="40" spans="2:11" s="16" customFormat="1" ht="30" customHeight="1" x14ac:dyDescent="0.2">
      <c r="B40" s="18" t="s">
        <v>147</v>
      </c>
      <c r="C40" s="194" t="s">
        <v>148</v>
      </c>
      <c r="D40" s="194"/>
      <c r="E40" s="8">
        <v>3.4500000000000003E-2</v>
      </c>
      <c r="F40" s="19" t="s">
        <v>111</v>
      </c>
      <c r="G40" s="195" t="s">
        <v>142</v>
      </c>
      <c r="H40" s="195"/>
      <c r="I40" s="195"/>
      <c r="J40" s="193"/>
      <c r="K40" s="193"/>
    </row>
    <row r="41" spans="2:11" s="16" customFormat="1" ht="30" customHeight="1" x14ac:dyDescent="0.2">
      <c r="B41" s="18" t="s">
        <v>149</v>
      </c>
      <c r="C41" s="194" t="s">
        <v>150</v>
      </c>
      <c r="D41" s="194"/>
      <c r="E41" s="8">
        <v>1.41E-2</v>
      </c>
      <c r="F41" s="19" t="s">
        <v>111</v>
      </c>
      <c r="G41" s="195" t="s">
        <v>142</v>
      </c>
      <c r="H41" s="195"/>
      <c r="I41" s="195"/>
      <c r="J41" s="193"/>
      <c r="K41" s="193"/>
    </row>
    <row r="42" spans="2:11" s="16" customFormat="1" ht="30" customHeight="1" x14ac:dyDescent="0.2">
      <c r="B42" s="18" t="s">
        <v>151</v>
      </c>
      <c r="C42" s="194" t="s">
        <v>152</v>
      </c>
      <c r="D42" s="194"/>
      <c r="E42" s="8">
        <v>0.01</v>
      </c>
      <c r="F42" s="19" t="s">
        <v>111</v>
      </c>
      <c r="G42" s="195" t="s">
        <v>142</v>
      </c>
      <c r="H42" s="195"/>
      <c r="I42" s="195"/>
      <c r="J42" s="193"/>
      <c r="K42" s="193"/>
    </row>
    <row r="43" spans="2:11" s="16" customFormat="1" ht="30" customHeight="1" x14ac:dyDescent="0.2">
      <c r="B43" s="18" t="s">
        <v>153</v>
      </c>
      <c r="C43" s="194" t="s">
        <v>154</v>
      </c>
      <c r="D43" s="194"/>
      <c r="E43" s="8">
        <v>4.1700000000000001E-2</v>
      </c>
      <c r="F43" s="19" t="s">
        <v>111</v>
      </c>
      <c r="G43" s="195" t="s">
        <v>142</v>
      </c>
      <c r="H43" s="195"/>
      <c r="I43" s="195"/>
      <c r="J43" s="193"/>
      <c r="K43" s="193"/>
    </row>
    <row r="44" spans="2:11" s="16" customFormat="1" ht="30" customHeight="1" x14ac:dyDescent="0.2">
      <c r="B44" s="18" t="s">
        <v>155</v>
      </c>
      <c r="C44" s="194" t="s">
        <v>156</v>
      </c>
      <c r="D44" s="194"/>
      <c r="E44" s="8">
        <v>5.0599999999999999E-2</v>
      </c>
      <c r="F44" s="19" t="s">
        <v>111</v>
      </c>
      <c r="G44" s="195" t="s">
        <v>142</v>
      </c>
      <c r="H44" s="195"/>
      <c r="I44" s="195"/>
      <c r="J44" s="193"/>
      <c r="K44" s="193"/>
    </row>
    <row r="45" spans="2:11" s="16" customFormat="1" ht="30" customHeight="1" x14ac:dyDescent="0.2">
      <c r="B45" s="18" t="s">
        <v>157</v>
      </c>
      <c r="C45" s="194" t="s">
        <v>158</v>
      </c>
      <c r="D45" s="194"/>
      <c r="E45" s="8">
        <v>9.7199999999999995E-2</v>
      </c>
      <c r="F45" s="19" t="s">
        <v>111</v>
      </c>
      <c r="G45" s="195" t="s">
        <v>142</v>
      </c>
      <c r="H45" s="195"/>
      <c r="I45" s="195"/>
      <c r="J45" s="193"/>
      <c r="K45" s="193"/>
    </row>
    <row r="46" spans="2:11" s="16" customFormat="1" ht="30" customHeight="1" x14ac:dyDescent="0.2">
      <c r="B46" s="18" t="s">
        <v>159</v>
      </c>
      <c r="C46" s="194" t="s">
        <v>160</v>
      </c>
      <c r="D46" s="194"/>
      <c r="E46" s="8">
        <v>0.1169</v>
      </c>
      <c r="F46" s="19" t="s">
        <v>111</v>
      </c>
      <c r="G46" s="195" t="s">
        <v>142</v>
      </c>
      <c r="H46" s="195"/>
      <c r="I46" s="195"/>
      <c r="J46" s="193"/>
      <c r="K46" s="193"/>
    </row>
    <row r="47" spans="2:11" s="16" customFormat="1" ht="30" customHeight="1" x14ac:dyDescent="0.2">
      <c r="B47" s="18" t="s">
        <v>161</v>
      </c>
      <c r="C47" s="194" t="s">
        <v>162</v>
      </c>
      <c r="D47" s="194"/>
      <c r="E47" s="8">
        <v>0</v>
      </c>
      <c r="F47" s="19" t="s">
        <v>111</v>
      </c>
      <c r="G47" s="195" t="s">
        <v>142</v>
      </c>
      <c r="H47" s="195"/>
      <c r="I47" s="195"/>
      <c r="J47" s="193"/>
      <c r="K47" s="193"/>
    </row>
    <row r="48" spans="2:11" s="16" customFormat="1" ht="30" customHeight="1" x14ac:dyDescent="0.2">
      <c r="B48" s="18" t="s">
        <v>163</v>
      </c>
      <c r="C48" s="194" t="s">
        <v>164</v>
      </c>
      <c r="D48" s="194"/>
      <c r="E48" s="183">
        <f>E37</f>
        <v>2.4899999999999999E-2</v>
      </c>
      <c r="F48" s="19" t="s">
        <v>111</v>
      </c>
      <c r="G48" s="195" t="s">
        <v>165</v>
      </c>
      <c r="H48" s="195"/>
      <c r="I48" s="195"/>
      <c r="J48" s="193"/>
      <c r="K48" s="193"/>
    </row>
    <row r="49" spans="2:11" s="16" customFormat="1" ht="30" customHeight="1" x14ac:dyDescent="0.2">
      <c r="B49" s="18" t="s">
        <v>166</v>
      </c>
      <c r="C49" s="194" t="s">
        <v>167</v>
      </c>
      <c r="D49" s="194"/>
      <c r="E49" s="183">
        <f t="shared" ref="E49:E58" si="0">E38</f>
        <v>3.09E-2</v>
      </c>
      <c r="F49" s="19" t="s">
        <v>111</v>
      </c>
      <c r="G49" s="195" t="s">
        <v>165</v>
      </c>
      <c r="H49" s="195"/>
      <c r="I49" s="195"/>
      <c r="J49" s="193"/>
      <c r="K49" s="193"/>
    </row>
    <row r="50" spans="2:11" s="16" customFormat="1" ht="30" customHeight="1" x14ac:dyDescent="0.2">
      <c r="B50" s="18" t="s">
        <v>168</v>
      </c>
      <c r="C50" s="194" t="s">
        <v>169</v>
      </c>
      <c r="D50" s="194"/>
      <c r="E50" s="183">
        <f t="shared" si="0"/>
        <v>0</v>
      </c>
      <c r="F50" s="19" t="s">
        <v>111</v>
      </c>
      <c r="G50" s="195" t="s">
        <v>165</v>
      </c>
      <c r="H50" s="195"/>
      <c r="I50" s="195"/>
      <c r="J50" s="193"/>
      <c r="K50" s="193"/>
    </row>
    <row r="51" spans="2:11" s="16" customFormat="1" ht="30" customHeight="1" x14ac:dyDescent="0.2">
      <c r="B51" s="18" t="s">
        <v>170</v>
      </c>
      <c r="C51" s="194" t="s">
        <v>171</v>
      </c>
      <c r="D51" s="194"/>
      <c r="E51" s="183">
        <f t="shared" si="0"/>
        <v>3.4500000000000003E-2</v>
      </c>
      <c r="F51" s="19" t="s">
        <v>111</v>
      </c>
      <c r="G51" s="195" t="s">
        <v>165</v>
      </c>
      <c r="H51" s="195"/>
      <c r="I51" s="195"/>
      <c r="J51" s="193"/>
      <c r="K51" s="193"/>
    </row>
    <row r="52" spans="2:11" s="16" customFormat="1" ht="30" customHeight="1" x14ac:dyDescent="0.2">
      <c r="B52" s="18" t="s">
        <v>172</v>
      </c>
      <c r="C52" s="194" t="s">
        <v>173</v>
      </c>
      <c r="D52" s="194"/>
      <c r="E52" s="183">
        <f t="shared" si="0"/>
        <v>1.41E-2</v>
      </c>
      <c r="F52" s="19" t="s">
        <v>111</v>
      </c>
      <c r="G52" s="195" t="s">
        <v>165</v>
      </c>
      <c r="H52" s="195"/>
      <c r="I52" s="195"/>
      <c r="J52" s="193"/>
      <c r="K52" s="193"/>
    </row>
    <row r="53" spans="2:11" s="16" customFormat="1" ht="30" customHeight="1" x14ac:dyDescent="0.2">
      <c r="B53" s="18" t="s">
        <v>174</v>
      </c>
      <c r="C53" s="194" t="s">
        <v>175</v>
      </c>
      <c r="D53" s="194"/>
      <c r="E53" s="183">
        <f t="shared" si="0"/>
        <v>0.01</v>
      </c>
      <c r="F53" s="19" t="s">
        <v>111</v>
      </c>
      <c r="G53" s="195" t="s">
        <v>165</v>
      </c>
      <c r="H53" s="195"/>
      <c r="I53" s="195"/>
      <c r="J53" s="193"/>
      <c r="K53" s="193"/>
    </row>
    <row r="54" spans="2:11" s="16" customFormat="1" ht="30" customHeight="1" x14ac:dyDescent="0.2">
      <c r="B54" s="18" t="s">
        <v>176</v>
      </c>
      <c r="C54" s="194" t="s">
        <v>177</v>
      </c>
      <c r="D54" s="194"/>
      <c r="E54" s="183">
        <f t="shared" si="0"/>
        <v>4.1700000000000001E-2</v>
      </c>
      <c r="F54" s="19" t="s">
        <v>111</v>
      </c>
      <c r="G54" s="195" t="s">
        <v>165</v>
      </c>
      <c r="H54" s="195"/>
      <c r="I54" s="195"/>
      <c r="J54" s="193"/>
      <c r="K54" s="193"/>
    </row>
    <row r="55" spans="2:11" s="16" customFormat="1" ht="30" customHeight="1" x14ac:dyDescent="0.2">
      <c r="B55" s="18" t="s">
        <v>178</v>
      </c>
      <c r="C55" s="194" t="s">
        <v>179</v>
      </c>
      <c r="D55" s="194"/>
      <c r="E55" s="183">
        <f t="shared" si="0"/>
        <v>5.0599999999999999E-2</v>
      </c>
      <c r="F55" s="19" t="s">
        <v>111</v>
      </c>
      <c r="G55" s="195" t="s">
        <v>165</v>
      </c>
      <c r="H55" s="195"/>
      <c r="I55" s="195"/>
      <c r="J55" s="193"/>
      <c r="K55" s="193"/>
    </row>
    <row r="56" spans="2:11" s="16" customFormat="1" ht="30" customHeight="1" x14ac:dyDescent="0.2">
      <c r="B56" s="18" t="s">
        <v>180</v>
      </c>
      <c r="C56" s="194" t="s">
        <v>181</v>
      </c>
      <c r="D56" s="194"/>
      <c r="E56" s="183">
        <f t="shared" si="0"/>
        <v>9.7199999999999995E-2</v>
      </c>
      <c r="F56" s="19" t="s">
        <v>111</v>
      </c>
      <c r="G56" s="195" t="s">
        <v>165</v>
      </c>
      <c r="H56" s="195"/>
      <c r="I56" s="195"/>
      <c r="J56" s="193"/>
      <c r="K56" s="193"/>
    </row>
    <row r="57" spans="2:11" s="16" customFormat="1" ht="30" customHeight="1" x14ac:dyDescent="0.2">
      <c r="B57" s="18" t="s">
        <v>182</v>
      </c>
      <c r="C57" s="194" t="s">
        <v>183</v>
      </c>
      <c r="D57" s="194"/>
      <c r="E57" s="183">
        <f t="shared" si="0"/>
        <v>0.1169</v>
      </c>
      <c r="F57" s="19" t="s">
        <v>111</v>
      </c>
      <c r="G57" s="195" t="s">
        <v>165</v>
      </c>
      <c r="H57" s="195"/>
      <c r="I57" s="195"/>
      <c r="J57" s="193"/>
      <c r="K57" s="193"/>
    </row>
    <row r="58" spans="2:11" s="16" customFormat="1" ht="30" customHeight="1" x14ac:dyDescent="0.2">
      <c r="B58" s="18" t="s">
        <v>184</v>
      </c>
      <c r="C58" s="194" t="s">
        <v>185</v>
      </c>
      <c r="D58" s="194"/>
      <c r="E58" s="183">
        <f t="shared" si="0"/>
        <v>0</v>
      </c>
      <c r="F58" s="19" t="s">
        <v>111</v>
      </c>
      <c r="G58" s="195" t="s">
        <v>165</v>
      </c>
      <c r="H58" s="195"/>
      <c r="I58" s="195"/>
      <c r="J58" s="193"/>
      <c r="K58" s="193"/>
    </row>
    <row r="59" spans="2:11" s="16" customFormat="1" ht="16.5" x14ac:dyDescent="0.2">
      <c r="B59" s="18" t="s">
        <v>186</v>
      </c>
      <c r="C59" s="194" t="s">
        <v>187</v>
      </c>
      <c r="D59" s="194"/>
      <c r="E59" s="9">
        <v>91.3</v>
      </c>
      <c r="F59" s="18" t="s">
        <v>188</v>
      </c>
      <c r="G59" s="195" t="s">
        <v>142</v>
      </c>
      <c r="H59" s="195"/>
      <c r="I59" s="195"/>
      <c r="J59" s="193"/>
      <c r="K59" s="193"/>
    </row>
    <row r="60" spans="2:11" s="16" customFormat="1" ht="16.5" x14ac:dyDescent="0.2">
      <c r="B60" s="18" t="s">
        <v>189</v>
      </c>
      <c r="C60" s="194" t="s">
        <v>190</v>
      </c>
      <c r="D60" s="194"/>
      <c r="E60" s="9">
        <v>135.11000000000001</v>
      </c>
      <c r="F60" s="18" t="s">
        <v>188</v>
      </c>
      <c r="G60" s="195" t="s">
        <v>142</v>
      </c>
      <c r="H60" s="195"/>
      <c r="I60" s="195"/>
      <c r="J60" s="193"/>
      <c r="K60" s="193"/>
    </row>
    <row r="61" spans="2:11" s="16" customFormat="1" ht="16.5" x14ac:dyDescent="0.2">
      <c r="B61" s="18" t="s">
        <v>191</v>
      </c>
      <c r="C61" s="194" t="s">
        <v>192</v>
      </c>
      <c r="D61" s="194"/>
      <c r="E61" s="9">
        <v>56.54</v>
      </c>
      <c r="F61" s="18" t="s">
        <v>188</v>
      </c>
      <c r="G61" s="195" t="s">
        <v>142</v>
      </c>
      <c r="H61" s="195"/>
      <c r="I61" s="195"/>
      <c r="J61" s="193"/>
      <c r="K61" s="193"/>
    </row>
    <row r="62" spans="2:11" s="16" customFormat="1" ht="16.5" x14ac:dyDescent="0.2">
      <c r="B62" s="18" t="s">
        <v>193</v>
      </c>
      <c r="C62" s="194" t="s">
        <v>194</v>
      </c>
      <c r="D62" s="194"/>
      <c r="E62" s="9">
        <v>48.21</v>
      </c>
      <c r="F62" s="18" t="s">
        <v>188</v>
      </c>
      <c r="G62" s="195" t="s">
        <v>142</v>
      </c>
      <c r="H62" s="195"/>
      <c r="I62" s="195"/>
      <c r="J62" s="193"/>
      <c r="K62" s="193"/>
    </row>
    <row r="63" spans="2:11" s="16" customFormat="1" ht="16.5" x14ac:dyDescent="0.2">
      <c r="B63" s="18" t="s">
        <v>195</v>
      </c>
      <c r="C63" s="194" t="s">
        <v>196</v>
      </c>
      <c r="D63" s="194"/>
      <c r="E63" s="9">
        <v>0</v>
      </c>
      <c r="F63" s="18" t="s">
        <v>188</v>
      </c>
      <c r="G63" s="195" t="s">
        <v>142</v>
      </c>
      <c r="H63" s="195"/>
      <c r="I63" s="195"/>
      <c r="J63" s="193"/>
      <c r="K63" s="193"/>
    </row>
    <row r="64" spans="2:11" s="16" customFormat="1" ht="16.5" x14ac:dyDescent="0.2">
      <c r="B64" s="18" t="s">
        <v>197</v>
      </c>
      <c r="C64" s="194" t="s">
        <v>198</v>
      </c>
      <c r="D64" s="194"/>
      <c r="E64" s="9">
        <v>84.15</v>
      </c>
      <c r="F64" s="18" t="s">
        <v>188</v>
      </c>
      <c r="G64" s="195" t="s">
        <v>142</v>
      </c>
      <c r="H64" s="195"/>
      <c r="I64" s="195"/>
      <c r="J64" s="193"/>
      <c r="K64" s="193"/>
    </row>
    <row r="65" spans="1:11" s="16" customFormat="1" ht="16.5" x14ac:dyDescent="0.2">
      <c r="B65" s="18" t="s">
        <v>199</v>
      </c>
      <c r="C65" s="194" t="s">
        <v>200</v>
      </c>
      <c r="D65" s="194"/>
      <c r="E65" s="9">
        <v>92.4</v>
      </c>
      <c r="F65" s="18" t="s">
        <v>188</v>
      </c>
      <c r="G65" s="195" t="s">
        <v>142</v>
      </c>
      <c r="H65" s="195"/>
      <c r="I65" s="195"/>
      <c r="J65" s="193"/>
      <c r="K65" s="193"/>
    </row>
    <row r="66" spans="1:11" s="16" customFormat="1" ht="16.5" x14ac:dyDescent="0.2">
      <c r="B66" s="18" t="s">
        <v>201</v>
      </c>
      <c r="C66" s="194" t="s">
        <v>202</v>
      </c>
      <c r="D66" s="194"/>
      <c r="E66" s="9">
        <v>39.86</v>
      </c>
      <c r="F66" s="18" t="s">
        <v>188</v>
      </c>
      <c r="G66" s="195" t="s">
        <v>142</v>
      </c>
      <c r="H66" s="195"/>
      <c r="I66" s="195"/>
      <c r="J66" s="193"/>
      <c r="K66" s="193"/>
    </row>
    <row r="67" spans="1:11" s="16" customFormat="1" ht="16.5" x14ac:dyDescent="0.2">
      <c r="B67" s="18" t="s">
        <v>203</v>
      </c>
      <c r="C67" s="194" t="s">
        <v>204</v>
      </c>
      <c r="D67" s="194"/>
      <c r="E67" s="9">
        <v>42.65</v>
      </c>
      <c r="F67" s="18" t="s">
        <v>188</v>
      </c>
      <c r="G67" s="195" t="s">
        <v>142</v>
      </c>
      <c r="H67" s="195"/>
      <c r="I67" s="195"/>
      <c r="J67" s="193"/>
      <c r="K67" s="193"/>
    </row>
    <row r="68" spans="1:11" s="16" customFormat="1" ht="16.5" x14ac:dyDescent="0.2">
      <c r="B68" s="18" t="s">
        <v>205</v>
      </c>
      <c r="C68" s="194" t="s">
        <v>206</v>
      </c>
      <c r="D68" s="194"/>
      <c r="E68" s="9">
        <v>56.54</v>
      </c>
      <c r="F68" s="18" t="s">
        <v>188</v>
      </c>
      <c r="G68" s="195" t="s">
        <v>142</v>
      </c>
      <c r="H68" s="195"/>
      <c r="I68" s="195"/>
      <c r="J68" s="193"/>
      <c r="K68" s="193"/>
    </row>
    <row r="69" spans="1:11" s="16" customFormat="1" ht="16.5" x14ac:dyDescent="0.2">
      <c r="B69" s="18" t="s">
        <v>207</v>
      </c>
      <c r="C69" s="194" t="s">
        <v>208</v>
      </c>
      <c r="D69" s="194"/>
      <c r="E69" s="9">
        <v>56.54</v>
      </c>
      <c r="F69" s="18" t="s">
        <v>188</v>
      </c>
      <c r="G69" s="195" t="s">
        <v>142</v>
      </c>
      <c r="H69" s="195"/>
      <c r="I69" s="195"/>
      <c r="J69" s="193"/>
      <c r="K69" s="193"/>
    </row>
    <row r="70" spans="1:11" s="16" customFormat="1" ht="16.5" x14ac:dyDescent="0.2">
      <c r="B70" s="18" t="s">
        <v>209</v>
      </c>
      <c r="C70" s="194" t="s">
        <v>210</v>
      </c>
      <c r="D70" s="194"/>
      <c r="E70" s="21" t="s">
        <v>26</v>
      </c>
      <c r="F70" s="19" t="s">
        <v>211</v>
      </c>
      <c r="G70" s="195" t="s">
        <v>212</v>
      </c>
      <c r="H70" s="195"/>
      <c r="I70" s="195"/>
      <c r="J70" s="193" t="s">
        <v>30</v>
      </c>
      <c r="K70" s="193"/>
    </row>
    <row r="71" spans="1:11" s="16" customFormat="1" ht="16.5" customHeight="1" x14ac:dyDescent="0.2">
      <c r="B71" s="18" t="s">
        <v>213</v>
      </c>
      <c r="C71" s="194" t="s">
        <v>214</v>
      </c>
      <c r="D71" s="194"/>
      <c r="E71" s="21" t="s">
        <v>26</v>
      </c>
      <c r="F71" s="18" t="s">
        <v>215</v>
      </c>
      <c r="G71" s="195" t="s">
        <v>216</v>
      </c>
      <c r="H71" s="195"/>
      <c r="I71" s="195"/>
      <c r="J71" s="193" t="s">
        <v>30</v>
      </c>
      <c r="K71" s="193"/>
    </row>
    <row r="73" spans="1:11" ht="17" x14ac:dyDescent="0.2">
      <c r="A73" s="14" t="s">
        <v>217</v>
      </c>
      <c r="B73" s="14"/>
    </row>
    <row r="74" spans="1:11" ht="17.399999999999999" customHeight="1" thickBot="1" x14ac:dyDescent="0.25">
      <c r="B74" s="208" t="s">
        <v>218</v>
      </c>
      <c r="C74" s="209"/>
      <c r="D74" s="210"/>
      <c r="E74" s="15" t="s">
        <v>17</v>
      </c>
    </row>
    <row r="75" spans="1:11" ht="16.5" thickBot="1" x14ac:dyDescent="0.25">
      <c r="B75" s="199" t="s">
        <v>219</v>
      </c>
      <c r="C75" s="200"/>
      <c r="D75" s="38">
        <f>SUM(D76:D87)</f>
        <v>4149242</v>
      </c>
      <c r="E75" s="39" t="s">
        <v>220</v>
      </c>
    </row>
    <row r="76" spans="1:11" ht="16.5" thickBot="1" x14ac:dyDescent="0.25">
      <c r="B76" s="18" t="s">
        <v>221</v>
      </c>
      <c r="C76" s="40">
        <f>'MPS(input_RL_Opt1)'!B8</f>
        <v>2018</v>
      </c>
      <c r="D76" s="38">
        <f>ROUNDDOWN('MPS(calc_process_Option1)'!F8,0)</f>
        <v>404757</v>
      </c>
      <c r="E76" s="39" t="s">
        <v>222</v>
      </c>
    </row>
    <row r="77" spans="1:11" ht="16.5" thickBot="1" x14ac:dyDescent="0.25">
      <c r="B77" s="18"/>
      <c r="C77" s="40">
        <f>C76+1</f>
        <v>2019</v>
      </c>
      <c r="D77" s="38">
        <f>ROUNDDOWN('MPS(calc_process_Option1)'!F9,0)</f>
        <v>204523</v>
      </c>
      <c r="E77" s="39" t="s">
        <v>222</v>
      </c>
    </row>
    <row r="78" spans="1:11" ht="16.5" thickBot="1" x14ac:dyDescent="0.25">
      <c r="B78" s="18"/>
      <c r="C78" s="40">
        <f t="shared" ref="C78:C87" si="1">C77+1</f>
        <v>2020</v>
      </c>
      <c r="D78" s="38">
        <f>ROUNDDOWN('MPS(calc_process_Option1)'!F10,0)</f>
        <v>237798</v>
      </c>
      <c r="E78" s="39" t="s">
        <v>222</v>
      </c>
    </row>
    <row r="79" spans="1:11" ht="16.5" thickBot="1" x14ac:dyDescent="0.25">
      <c r="B79" s="18"/>
      <c r="C79" s="40">
        <f t="shared" si="1"/>
        <v>2021</v>
      </c>
      <c r="D79" s="38">
        <f>ROUNDDOWN('MPS(calc_process_Option1)'!F11,0)</f>
        <v>266238</v>
      </c>
      <c r="E79" s="39" t="s">
        <v>222</v>
      </c>
    </row>
    <row r="80" spans="1:11" ht="16.5" thickBot="1" x14ac:dyDescent="0.25">
      <c r="B80" s="18"/>
      <c r="C80" s="40">
        <f t="shared" si="1"/>
        <v>2022</v>
      </c>
      <c r="D80" s="38">
        <f>ROUNDDOWN('MPS(calc_process_Option1)'!F12,0)</f>
        <v>290399</v>
      </c>
      <c r="E80" s="39" t="s">
        <v>222</v>
      </c>
    </row>
    <row r="81" spans="1:10" ht="16.5" thickBot="1" x14ac:dyDescent="0.25">
      <c r="B81" s="18"/>
      <c r="C81" s="40">
        <f t="shared" si="1"/>
        <v>2023</v>
      </c>
      <c r="D81" s="38">
        <f>ROUNDDOWN('MPS(calc_process_Option1)'!F13,0)</f>
        <v>310718</v>
      </c>
      <c r="E81" s="39" t="s">
        <v>222</v>
      </c>
    </row>
    <row r="82" spans="1:10" ht="16.5" thickBot="1" x14ac:dyDescent="0.25">
      <c r="B82" s="18"/>
      <c r="C82" s="40">
        <f t="shared" si="1"/>
        <v>2024</v>
      </c>
      <c r="D82" s="38">
        <f>ROUNDDOWN('MPS(calc_process_Option1)'!F14,0)</f>
        <v>327653</v>
      </c>
      <c r="E82" s="39" t="s">
        <v>222</v>
      </c>
    </row>
    <row r="83" spans="1:10" ht="16.5" thickBot="1" x14ac:dyDescent="0.25">
      <c r="B83" s="18"/>
      <c r="C83" s="40">
        <f t="shared" si="1"/>
        <v>2025</v>
      </c>
      <c r="D83" s="38">
        <f>ROUNDDOWN('MPS(calc_process_Option1)'!F15,0)</f>
        <v>375356</v>
      </c>
      <c r="E83" s="39" t="s">
        <v>222</v>
      </c>
    </row>
    <row r="84" spans="1:10" ht="16.5" thickBot="1" x14ac:dyDescent="0.25">
      <c r="B84" s="18"/>
      <c r="C84" s="40">
        <f t="shared" si="1"/>
        <v>2026</v>
      </c>
      <c r="D84" s="38">
        <f>ROUNDDOWN('MPS(calc_process_Option1)'!F16,0)</f>
        <v>410251</v>
      </c>
      <c r="E84" s="39" t="s">
        <v>222</v>
      </c>
    </row>
    <row r="85" spans="1:10" ht="16.5" thickBot="1" x14ac:dyDescent="0.25">
      <c r="B85" s="18"/>
      <c r="C85" s="40">
        <f t="shared" si="1"/>
        <v>2027</v>
      </c>
      <c r="D85" s="38">
        <f>ROUNDDOWN('MPS(calc_process_Option1)'!F17,0)</f>
        <v>434991</v>
      </c>
      <c r="E85" s="39" t="s">
        <v>222</v>
      </c>
    </row>
    <row r="86" spans="1:10" ht="16.5" thickBot="1" x14ac:dyDescent="0.25">
      <c r="B86" s="18"/>
      <c r="C86" s="40">
        <f t="shared" si="1"/>
        <v>2028</v>
      </c>
      <c r="D86" s="38">
        <f>ROUNDDOWN('MPS(calc_process_Option1)'!F18,0)</f>
        <v>445647</v>
      </c>
      <c r="E86" s="39" t="s">
        <v>222</v>
      </c>
    </row>
    <row r="87" spans="1:10" ht="16.5" thickBot="1" x14ac:dyDescent="0.25">
      <c r="B87" s="18"/>
      <c r="C87" s="40">
        <f t="shared" si="1"/>
        <v>2029</v>
      </c>
      <c r="D87" s="38">
        <f>ROUNDDOWN('MPS(calc_process_Option1)'!F19,0)</f>
        <v>440911</v>
      </c>
      <c r="E87" s="39" t="s">
        <v>222</v>
      </c>
    </row>
    <row r="88" spans="1:10" x14ac:dyDescent="0.2">
      <c r="F88" s="41"/>
      <c r="G88" s="42"/>
    </row>
    <row r="89" spans="1:10" x14ac:dyDescent="0.2">
      <c r="A89" s="14" t="s">
        <v>223</v>
      </c>
    </row>
    <row r="90" spans="1:10" x14ac:dyDescent="0.2">
      <c r="B90" s="43" t="s">
        <v>224</v>
      </c>
      <c r="C90" s="196" t="s">
        <v>225</v>
      </c>
      <c r="D90" s="196"/>
      <c r="E90" s="196"/>
      <c r="F90" s="196"/>
      <c r="G90" s="196"/>
      <c r="H90" s="196"/>
      <c r="I90" s="196"/>
      <c r="J90" s="44"/>
    </row>
    <row r="91" spans="1:10" x14ac:dyDescent="0.2">
      <c r="B91" s="43" t="s">
        <v>226</v>
      </c>
      <c r="C91" s="196" t="s">
        <v>227</v>
      </c>
      <c r="D91" s="196"/>
      <c r="E91" s="196"/>
      <c r="F91" s="196"/>
      <c r="G91" s="196"/>
      <c r="H91" s="196"/>
      <c r="I91" s="196"/>
      <c r="J91" s="44"/>
    </row>
    <row r="92" spans="1:10" x14ac:dyDescent="0.2">
      <c r="B92" s="43" t="s">
        <v>228</v>
      </c>
      <c r="C92" s="196" t="s">
        <v>229</v>
      </c>
      <c r="D92" s="196"/>
      <c r="E92" s="196"/>
      <c r="F92" s="196"/>
      <c r="G92" s="196"/>
      <c r="H92" s="196"/>
      <c r="I92" s="196"/>
      <c r="J92" s="44"/>
    </row>
  </sheetData>
  <sheetProtection algorithmName="SHA-512" hashValue="nPEwlEe87dKUzVDUWKC1eWkpn75hn57EmCThAlGkWxlsTr5LcKHNoGjG2L7XZE5k3F8bPKD7LWNnZbWatGxJDQ==" saltValue="g7laBYQlJuJK3mb3rgBRMg==" spinCount="100000" sheet="1" formatCells="0" formatRows="0"/>
  <mergeCells count="128">
    <mergeCell ref="C60:D60"/>
    <mergeCell ref="G60:I60"/>
    <mergeCell ref="J60:K60"/>
    <mergeCell ref="J58:K58"/>
    <mergeCell ref="C55:D55"/>
    <mergeCell ref="G55:I55"/>
    <mergeCell ref="J55:K55"/>
    <mergeCell ref="C56:D56"/>
    <mergeCell ref="B74:D74"/>
    <mergeCell ref="J70:K70"/>
    <mergeCell ref="C71:D71"/>
    <mergeCell ref="C61:D61"/>
    <mergeCell ref="G61:I61"/>
    <mergeCell ref="C63:D63"/>
    <mergeCell ref="G63:I63"/>
    <mergeCell ref="J63:K63"/>
    <mergeCell ref="J69:K69"/>
    <mergeCell ref="J66:K66"/>
    <mergeCell ref="J67:K67"/>
    <mergeCell ref="J64:K64"/>
    <mergeCell ref="J65:K65"/>
    <mergeCell ref="C70:D70"/>
    <mergeCell ref="G65:I65"/>
    <mergeCell ref="G70:I70"/>
    <mergeCell ref="G69:I69"/>
    <mergeCell ref="C66:D66"/>
    <mergeCell ref="J68:K68"/>
    <mergeCell ref="J62:K62"/>
    <mergeCell ref="J61:K61"/>
    <mergeCell ref="G66:I66"/>
    <mergeCell ref="C67:D67"/>
    <mergeCell ref="G67:I67"/>
    <mergeCell ref="C31:D31"/>
    <mergeCell ref="G31:I31"/>
    <mergeCell ref="J31:K31"/>
    <mergeCell ref="C32:D32"/>
    <mergeCell ref="G32:I32"/>
    <mergeCell ref="J32:K32"/>
    <mergeCell ref="J44:K44"/>
    <mergeCell ref="J45:K45"/>
    <mergeCell ref="J46:K46"/>
    <mergeCell ref="C44:D44"/>
    <mergeCell ref="J34:K34"/>
    <mergeCell ref="C34:D34"/>
    <mergeCell ref="G34:I34"/>
    <mergeCell ref="C37:D37"/>
    <mergeCell ref="G37:I37"/>
    <mergeCell ref="J37:K37"/>
    <mergeCell ref="C35:D35"/>
    <mergeCell ref="G35:I35"/>
    <mergeCell ref="J35:K35"/>
    <mergeCell ref="J39:K39"/>
    <mergeCell ref="G39:I39"/>
    <mergeCell ref="G40:I40"/>
    <mergeCell ref="J40:K40"/>
    <mergeCell ref="J41:K41"/>
    <mergeCell ref="J42:K42"/>
    <mergeCell ref="G41:I41"/>
    <mergeCell ref="C39:D39"/>
    <mergeCell ref="C40:D40"/>
    <mergeCell ref="C41:D41"/>
    <mergeCell ref="C42:D42"/>
    <mergeCell ref="G42:I42"/>
    <mergeCell ref="C43:D43"/>
    <mergeCell ref="J47:K47"/>
    <mergeCell ref="G46:I46"/>
    <mergeCell ref="G53:I53"/>
    <mergeCell ref="J51:K51"/>
    <mergeCell ref="C52:D52"/>
    <mergeCell ref="G52:I52"/>
    <mergeCell ref="C48:D48"/>
    <mergeCell ref="G48:I48"/>
    <mergeCell ref="J48:K48"/>
    <mergeCell ref="C50:D50"/>
    <mergeCell ref="G50:I50"/>
    <mergeCell ref="J50:K50"/>
    <mergeCell ref="G43:I43"/>
    <mergeCell ref="G44:I44"/>
    <mergeCell ref="G45:I45"/>
    <mergeCell ref="J43:K43"/>
    <mergeCell ref="G68:I68"/>
    <mergeCell ref="C69:D69"/>
    <mergeCell ref="G58:I58"/>
    <mergeCell ref="J52:K52"/>
    <mergeCell ref="C45:D45"/>
    <mergeCell ref="C46:D46"/>
    <mergeCell ref="C47:D47"/>
    <mergeCell ref="C51:D51"/>
    <mergeCell ref="G51:I51"/>
    <mergeCell ref="J53:K53"/>
    <mergeCell ref="C54:D54"/>
    <mergeCell ref="C64:D64"/>
    <mergeCell ref="G64:I64"/>
    <mergeCell ref="C65:D65"/>
    <mergeCell ref="C62:D62"/>
    <mergeCell ref="G62:I62"/>
    <mergeCell ref="C59:D59"/>
    <mergeCell ref="G59:I59"/>
    <mergeCell ref="G54:I54"/>
    <mergeCell ref="J54:K54"/>
    <mergeCell ref="C58:D58"/>
    <mergeCell ref="J59:K59"/>
    <mergeCell ref="G56:I56"/>
    <mergeCell ref="G47:I47"/>
    <mergeCell ref="J56:K56"/>
    <mergeCell ref="C57:D57"/>
    <mergeCell ref="G57:I57"/>
    <mergeCell ref="J57:K57"/>
    <mergeCell ref="C91:I91"/>
    <mergeCell ref="C92:I92"/>
    <mergeCell ref="C33:D33"/>
    <mergeCell ref="G33:I33"/>
    <mergeCell ref="J33:K33"/>
    <mergeCell ref="B75:C75"/>
    <mergeCell ref="C90:I90"/>
    <mergeCell ref="C36:D36"/>
    <mergeCell ref="C38:D38"/>
    <mergeCell ref="G36:I36"/>
    <mergeCell ref="J36:K36"/>
    <mergeCell ref="G38:I38"/>
    <mergeCell ref="J38:K38"/>
    <mergeCell ref="G71:I71"/>
    <mergeCell ref="J71:K71"/>
    <mergeCell ref="C49:D49"/>
    <mergeCell ref="G49:I49"/>
    <mergeCell ref="J49:K49"/>
    <mergeCell ref="C53:D53"/>
    <mergeCell ref="C68:D68"/>
  </mergeCells>
  <phoneticPr fontId="2"/>
  <pageMargins left="0.70866141732283472" right="0.70866141732283472" top="0.74803149606299213" bottom="0.74803149606299213" header="0.31496062992125984" footer="0.31496062992125984"/>
  <pageSetup paperSize="9" scale="20" orientation="landscape" r:id="rId1"/>
  <rowBreaks count="2" manualBreakCount="2">
    <brk id="93" max="16383" man="1"/>
    <brk id="94" max="16383" man="1"/>
  </rowBreaks>
  <colBreaks count="2" manualBreakCount="2">
    <brk id="4" max="1048575" man="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6BCF-1DCF-4DB7-9114-19BC016A0BB6}">
  <sheetPr>
    <tabColor theme="5" tint="0.39997558519241921"/>
  </sheetPr>
  <dimension ref="A1:D33"/>
  <sheetViews>
    <sheetView showGridLines="0" view="pageBreakPreview" zoomScale="70" zoomScaleNormal="80" zoomScaleSheetLayoutView="70" workbookViewId="0"/>
  </sheetViews>
  <sheetFormatPr defaultRowHeight="13" x14ac:dyDescent="0.2"/>
  <cols>
    <col min="1" max="1" width="3.6328125" style="159" customWidth="1"/>
    <col min="2" max="2" width="28.453125" style="159" customWidth="1"/>
    <col min="3" max="3" width="36.36328125" style="159" customWidth="1"/>
    <col min="4" max="4" width="35.81640625" style="159" customWidth="1"/>
    <col min="5" max="257" width="9" style="159"/>
    <col min="258" max="258" width="3.6328125" style="159" customWidth="1"/>
    <col min="259" max="259" width="36.36328125" style="159" customWidth="1"/>
    <col min="260" max="260" width="49.08984375" style="159" customWidth="1"/>
    <col min="261" max="513" width="9" style="159"/>
    <col min="514" max="514" width="3.6328125" style="159" customWidth="1"/>
    <col min="515" max="515" width="36.36328125" style="159" customWidth="1"/>
    <col min="516" max="516" width="49.08984375" style="159" customWidth="1"/>
    <col min="517" max="769" width="9" style="159"/>
    <col min="770" max="770" width="3.6328125" style="159" customWidth="1"/>
    <col min="771" max="771" width="36.36328125" style="159" customWidth="1"/>
    <col min="772" max="772" width="49.08984375" style="159" customWidth="1"/>
    <col min="773" max="1025" width="9" style="159"/>
    <col min="1026" max="1026" width="3.6328125" style="159" customWidth="1"/>
    <col min="1027" max="1027" width="36.36328125" style="159" customWidth="1"/>
    <col min="1028" max="1028" width="49.08984375" style="159" customWidth="1"/>
    <col min="1029" max="1281" width="9" style="159"/>
    <col min="1282" max="1282" width="3.6328125" style="159" customWidth="1"/>
    <col min="1283" max="1283" width="36.36328125" style="159" customWidth="1"/>
    <col min="1284" max="1284" width="49.08984375" style="159" customWidth="1"/>
    <col min="1285" max="1537" width="9" style="159"/>
    <col min="1538" max="1538" width="3.6328125" style="159" customWidth="1"/>
    <col min="1539" max="1539" width="36.36328125" style="159" customWidth="1"/>
    <col min="1540" max="1540" width="49.08984375" style="159" customWidth="1"/>
    <col min="1541" max="1793" width="9" style="159"/>
    <col min="1794" max="1794" width="3.6328125" style="159" customWidth="1"/>
    <col min="1795" max="1795" width="36.36328125" style="159" customWidth="1"/>
    <col min="1796" max="1796" width="49.08984375" style="159" customWidth="1"/>
    <col min="1797" max="2049" width="9" style="159"/>
    <col min="2050" max="2050" width="3.6328125" style="159" customWidth="1"/>
    <col min="2051" max="2051" width="36.36328125" style="159" customWidth="1"/>
    <col min="2052" max="2052" width="49.08984375" style="159" customWidth="1"/>
    <col min="2053" max="2305" width="9" style="159"/>
    <col min="2306" max="2306" width="3.6328125" style="159" customWidth="1"/>
    <col min="2307" max="2307" width="36.36328125" style="159" customWidth="1"/>
    <col min="2308" max="2308" width="49.08984375" style="159" customWidth="1"/>
    <col min="2309" max="2561" width="9" style="159"/>
    <col min="2562" max="2562" width="3.6328125" style="159" customWidth="1"/>
    <col min="2563" max="2563" width="36.36328125" style="159" customWidth="1"/>
    <col min="2564" max="2564" width="49.08984375" style="159" customWidth="1"/>
    <col min="2565" max="2817" width="9" style="159"/>
    <col min="2818" max="2818" width="3.6328125" style="159" customWidth="1"/>
    <col min="2819" max="2819" width="36.36328125" style="159" customWidth="1"/>
    <col min="2820" max="2820" width="49.08984375" style="159" customWidth="1"/>
    <col min="2821" max="3073" width="9" style="159"/>
    <col min="3074" max="3074" width="3.6328125" style="159" customWidth="1"/>
    <col min="3075" max="3075" width="36.36328125" style="159" customWidth="1"/>
    <col min="3076" max="3076" width="49.08984375" style="159" customWidth="1"/>
    <col min="3077" max="3329" width="9" style="159"/>
    <col min="3330" max="3330" width="3.6328125" style="159" customWidth="1"/>
    <col min="3331" max="3331" width="36.36328125" style="159" customWidth="1"/>
    <col min="3332" max="3332" width="49.08984375" style="159" customWidth="1"/>
    <col min="3333" max="3585" width="9" style="159"/>
    <col min="3586" max="3586" width="3.6328125" style="159" customWidth="1"/>
    <col min="3587" max="3587" width="36.36328125" style="159" customWidth="1"/>
    <col min="3588" max="3588" width="49.08984375" style="159" customWidth="1"/>
    <col min="3589" max="3841" width="9" style="159"/>
    <col min="3842" max="3842" width="3.6328125" style="159" customWidth="1"/>
    <col min="3843" max="3843" width="36.36328125" style="159" customWidth="1"/>
    <col min="3844" max="3844" width="49.08984375" style="159" customWidth="1"/>
    <col min="3845" max="4097" width="9" style="159"/>
    <col min="4098" max="4098" width="3.6328125" style="159" customWidth="1"/>
    <col min="4099" max="4099" width="36.36328125" style="159" customWidth="1"/>
    <col min="4100" max="4100" width="49.08984375" style="159" customWidth="1"/>
    <col min="4101" max="4353" width="9" style="159"/>
    <col min="4354" max="4354" width="3.6328125" style="159" customWidth="1"/>
    <col min="4355" max="4355" width="36.36328125" style="159" customWidth="1"/>
    <col min="4356" max="4356" width="49.08984375" style="159" customWidth="1"/>
    <col min="4357" max="4609" width="9" style="159"/>
    <col min="4610" max="4610" width="3.6328125" style="159" customWidth="1"/>
    <col min="4611" max="4611" width="36.36328125" style="159" customWidth="1"/>
    <col min="4612" max="4612" width="49.08984375" style="159" customWidth="1"/>
    <col min="4613" max="4865" width="9" style="159"/>
    <col min="4866" max="4866" width="3.6328125" style="159" customWidth="1"/>
    <col min="4867" max="4867" width="36.36328125" style="159" customWidth="1"/>
    <col min="4868" max="4868" width="49.08984375" style="159" customWidth="1"/>
    <col min="4869" max="5121" width="9" style="159"/>
    <col min="5122" max="5122" width="3.6328125" style="159" customWidth="1"/>
    <col min="5123" max="5123" width="36.36328125" style="159" customWidth="1"/>
    <col min="5124" max="5124" width="49.08984375" style="159" customWidth="1"/>
    <col min="5125" max="5377" width="9" style="159"/>
    <col min="5378" max="5378" width="3.6328125" style="159" customWidth="1"/>
    <col min="5379" max="5379" width="36.36328125" style="159" customWidth="1"/>
    <col min="5380" max="5380" width="49.08984375" style="159" customWidth="1"/>
    <col min="5381" max="5633" width="9" style="159"/>
    <col min="5634" max="5634" width="3.6328125" style="159" customWidth="1"/>
    <col min="5635" max="5635" width="36.36328125" style="159" customWidth="1"/>
    <col min="5636" max="5636" width="49.08984375" style="159" customWidth="1"/>
    <col min="5637" max="5889" width="9" style="159"/>
    <col min="5890" max="5890" width="3.6328125" style="159" customWidth="1"/>
    <col min="5891" max="5891" width="36.36328125" style="159" customWidth="1"/>
    <col min="5892" max="5892" width="49.08984375" style="159" customWidth="1"/>
    <col min="5893" max="6145" width="9" style="159"/>
    <col min="6146" max="6146" width="3.6328125" style="159" customWidth="1"/>
    <col min="6147" max="6147" width="36.36328125" style="159" customWidth="1"/>
    <col min="6148" max="6148" width="49.08984375" style="159" customWidth="1"/>
    <col min="6149" max="6401" width="9" style="159"/>
    <col min="6402" max="6402" width="3.6328125" style="159" customWidth="1"/>
    <col min="6403" max="6403" width="36.36328125" style="159" customWidth="1"/>
    <col min="6404" max="6404" width="49.08984375" style="159" customWidth="1"/>
    <col min="6405" max="6657" width="9" style="159"/>
    <col min="6658" max="6658" width="3.6328125" style="159" customWidth="1"/>
    <col min="6659" max="6659" width="36.36328125" style="159" customWidth="1"/>
    <col min="6660" max="6660" width="49.08984375" style="159" customWidth="1"/>
    <col min="6661" max="6913" width="9" style="159"/>
    <col min="6914" max="6914" width="3.6328125" style="159" customWidth="1"/>
    <col min="6915" max="6915" width="36.36328125" style="159" customWidth="1"/>
    <col min="6916" max="6916" width="49.08984375" style="159" customWidth="1"/>
    <col min="6917" max="7169" width="9" style="159"/>
    <col min="7170" max="7170" width="3.6328125" style="159" customWidth="1"/>
    <col min="7171" max="7171" width="36.36328125" style="159" customWidth="1"/>
    <col min="7172" max="7172" width="49.08984375" style="159" customWidth="1"/>
    <col min="7173" max="7425" width="9" style="159"/>
    <col min="7426" max="7426" width="3.6328125" style="159" customWidth="1"/>
    <col min="7427" max="7427" width="36.36328125" style="159" customWidth="1"/>
    <col min="7428" max="7428" width="49.08984375" style="159" customWidth="1"/>
    <col min="7429" max="7681" width="9" style="159"/>
    <col min="7682" max="7682" width="3.6328125" style="159" customWidth="1"/>
    <col min="7683" max="7683" width="36.36328125" style="159" customWidth="1"/>
    <col min="7684" max="7684" width="49.08984375" style="159" customWidth="1"/>
    <col min="7685" max="7937" width="9" style="159"/>
    <col min="7938" max="7938" width="3.6328125" style="159" customWidth="1"/>
    <col min="7939" max="7939" width="36.36328125" style="159" customWidth="1"/>
    <col min="7940" max="7940" width="49.08984375" style="159" customWidth="1"/>
    <col min="7941" max="8193" width="9" style="159"/>
    <col min="8194" max="8194" width="3.6328125" style="159" customWidth="1"/>
    <col min="8195" max="8195" width="36.36328125" style="159" customWidth="1"/>
    <col min="8196" max="8196" width="49.08984375" style="159" customWidth="1"/>
    <col min="8197" max="8449" width="9" style="159"/>
    <col min="8450" max="8450" width="3.6328125" style="159" customWidth="1"/>
    <col min="8451" max="8451" width="36.36328125" style="159" customWidth="1"/>
    <col min="8452" max="8452" width="49.08984375" style="159" customWidth="1"/>
    <col min="8453" max="8705" width="9" style="159"/>
    <col min="8706" max="8706" width="3.6328125" style="159" customWidth="1"/>
    <col min="8707" max="8707" width="36.36328125" style="159" customWidth="1"/>
    <col min="8708" max="8708" width="49.08984375" style="159" customWidth="1"/>
    <col min="8709" max="8961" width="9" style="159"/>
    <col min="8962" max="8962" width="3.6328125" style="159" customWidth="1"/>
    <col min="8963" max="8963" width="36.36328125" style="159" customWidth="1"/>
    <col min="8964" max="8964" width="49.08984375" style="159" customWidth="1"/>
    <col min="8965" max="9217" width="9" style="159"/>
    <col min="9218" max="9218" width="3.6328125" style="159" customWidth="1"/>
    <col min="9219" max="9219" width="36.36328125" style="159" customWidth="1"/>
    <col min="9220" max="9220" width="49.08984375" style="159" customWidth="1"/>
    <col min="9221" max="9473" width="9" style="159"/>
    <col min="9474" max="9474" width="3.6328125" style="159" customWidth="1"/>
    <col min="9475" max="9475" width="36.36328125" style="159" customWidth="1"/>
    <col min="9476" max="9476" width="49.08984375" style="159" customWidth="1"/>
    <col min="9477" max="9729" width="9" style="159"/>
    <col min="9730" max="9730" width="3.6328125" style="159" customWidth="1"/>
    <col min="9731" max="9731" width="36.36328125" style="159" customWidth="1"/>
    <col min="9732" max="9732" width="49.08984375" style="159" customWidth="1"/>
    <col min="9733" max="9985" width="9" style="159"/>
    <col min="9986" max="9986" width="3.6328125" style="159" customWidth="1"/>
    <col min="9987" max="9987" width="36.36328125" style="159" customWidth="1"/>
    <col min="9988" max="9988" width="49.08984375" style="159" customWidth="1"/>
    <col min="9989" max="10241" width="9" style="159"/>
    <col min="10242" max="10242" width="3.6328125" style="159" customWidth="1"/>
    <col min="10243" max="10243" width="36.36328125" style="159" customWidth="1"/>
    <col min="10244" max="10244" width="49.08984375" style="159" customWidth="1"/>
    <col min="10245" max="10497" width="9" style="159"/>
    <col min="10498" max="10498" width="3.6328125" style="159" customWidth="1"/>
    <col min="10499" max="10499" width="36.36328125" style="159" customWidth="1"/>
    <col min="10500" max="10500" width="49.08984375" style="159" customWidth="1"/>
    <col min="10501" max="10753" width="9" style="159"/>
    <col min="10754" max="10754" width="3.6328125" style="159" customWidth="1"/>
    <col min="10755" max="10755" width="36.36328125" style="159" customWidth="1"/>
    <col min="10756" max="10756" width="49.08984375" style="159" customWidth="1"/>
    <col min="10757" max="11009" width="9" style="159"/>
    <col min="11010" max="11010" width="3.6328125" style="159" customWidth="1"/>
    <col min="11011" max="11011" width="36.36328125" style="159" customWidth="1"/>
    <col min="11012" max="11012" width="49.08984375" style="159" customWidth="1"/>
    <col min="11013" max="11265" width="9" style="159"/>
    <col min="11266" max="11266" width="3.6328125" style="159" customWidth="1"/>
    <col min="11267" max="11267" width="36.36328125" style="159" customWidth="1"/>
    <col min="11268" max="11268" width="49.08984375" style="159" customWidth="1"/>
    <col min="11269" max="11521" width="9" style="159"/>
    <col min="11522" max="11522" width="3.6328125" style="159" customWidth="1"/>
    <col min="11523" max="11523" width="36.36328125" style="159" customWidth="1"/>
    <col min="11524" max="11524" width="49.08984375" style="159" customWidth="1"/>
    <col min="11525" max="11777" width="9" style="159"/>
    <col min="11778" max="11778" width="3.6328125" style="159" customWidth="1"/>
    <col min="11779" max="11779" width="36.36328125" style="159" customWidth="1"/>
    <col min="11780" max="11780" width="49.08984375" style="159" customWidth="1"/>
    <col min="11781" max="12033" width="9" style="159"/>
    <col min="12034" max="12034" width="3.6328125" style="159" customWidth="1"/>
    <col min="12035" max="12035" width="36.36328125" style="159" customWidth="1"/>
    <col min="12036" max="12036" width="49.08984375" style="159" customWidth="1"/>
    <col min="12037" max="12289" width="9" style="159"/>
    <col min="12290" max="12290" width="3.6328125" style="159" customWidth="1"/>
    <col min="12291" max="12291" width="36.36328125" style="159" customWidth="1"/>
    <col min="12292" max="12292" width="49.08984375" style="159" customWidth="1"/>
    <col min="12293" max="12545" width="9" style="159"/>
    <col min="12546" max="12546" width="3.6328125" style="159" customWidth="1"/>
    <col min="12547" max="12547" width="36.36328125" style="159" customWidth="1"/>
    <col min="12548" max="12548" width="49.08984375" style="159" customWidth="1"/>
    <col min="12549" max="12801" width="9" style="159"/>
    <col min="12802" max="12802" width="3.6328125" style="159" customWidth="1"/>
    <col min="12803" max="12803" width="36.36328125" style="159" customWidth="1"/>
    <col min="12804" max="12804" width="49.08984375" style="159" customWidth="1"/>
    <col min="12805" max="13057" width="9" style="159"/>
    <col min="13058" max="13058" width="3.6328125" style="159" customWidth="1"/>
    <col min="13059" max="13059" width="36.36328125" style="159" customWidth="1"/>
    <col min="13060" max="13060" width="49.08984375" style="159" customWidth="1"/>
    <col min="13061" max="13313" width="9" style="159"/>
    <col min="13314" max="13314" width="3.6328125" style="159" customWidth="1"/>
    <col min="13315" max="13315" width="36.36328125" style="159" customWidth="1"/>
    <col min="13316" max="13316" width="49.08984375" style="159" customWidth="1"/>
    <col min="13317" max="13569" width="9" style="159"/>
    <col min="13570" max="13570" width="3.6328125" style="159" customWidth="1"/>
    <col min="13571" max="13571" width="36.36328125" style="159" customWidth="1"/>
    <col min="13572" max="13572" width="49.08984375" style="159" customWidth="1"/>
    <col min="13573" max="13825" width="9" style="159"/>
    <col min="13826" max="13826" width="3.6328125" style="159" customWidth="1"/>
    <col min="13827" max="13827" width="36.36328125" style="159" customWidth="1"/>
    <col min="13828" max="13828" width="49.08984375" style="159" customWidth="1"/>
    <col min="13829" max="14081" width="9" style="159"/>
    <col min="14082" max="14082" width="3.6328125" style="159" customWidth="1"/>
    <col min="14083" max="14083" width="36.36328125" style="159" customWidth="1"/>
    <col min="14084" max="14084" width="49.08984375" style="159" customWidth="1"/>
    <col min="14085" max="14337" width="9" style="159"/>
    <col min="14338" max="14338" width="3.6328125" style="159" customWidth="1"/>
    <col min="14339" max="14339" width="36.36328125" style="159" customWidth="1"/>
    <col min="14340" max="14340" width="49.08984375" style="159" customWidth="1"/>
    <col min="14341" max="14593" width="9" style="159"/>
    <col min="14594" max="14594" width="3.6328125" style="159" customWidth="1"/>
    <col min="14595" max="14595" width="36.36328125" style="159" customWidth="1"/>
    <col min="14596" max="14596" width="49.08984375" style="159" customWidth="1"/>
    <col min="14597" max="14849" width="9" style="159"/>
    <col min="14850" max="14850" width="3.6328125" style="159" customWidth="1"/>
    <col min="14851" max="14851" width="36.36328125" style="159" customWidth="1"/>
    <col min="14852" max="14852" width="49.08984375" style="159" customWidth="1"/>
    <col min="14853" max="15105" width="9" style="159"/>
    <col min="15106" max="15106" width="3.6328125" style="159" customWidth="1"/>
    <col min="15107" max="15107" width="36.36328125" style="159" customWidth="1"/>
    <col min="15108" max="15108" width="49.08984375" style="159" customWidth="1"/>
    <col min="15109" max="15361" width="9" style="159"/>
    <col min="15362" max="15362" width="3.6328125" style="159" customWidth="1"/>
    <col min="15363" max="15363" width="36.36328125" style="159" customWidth="1"/>
    <col min="15364" max="15364" width="49.08984375" style="159" customWidth="1"/>
    <col min="15365" max="15617" width="9" style="159"/>
    <col min="15618" max="15618" width="3.6328125" style="159" customWidth="1"/>
    <col min="15619" max="15619" width="36.36328125" style="159" customWidth="1"/>
    <col min="15620" max="15620" width="49.08984375" style="159" customWidth="1"/>
    <col min="15621" max="15873" width="9" style="159"/>
    <col min="15874" max="15874" width="3.6328125" style="159" customWidth="1"/>
    <col min="15875" max="15875" width="36.36328125" style="159" customWidth="1"/>
    <col min="15876" max="15876" width="49.08984375" style="159" customWidth="1"/>
    <col min="15877" max="16129" width="9" style="159"/>
    <col min="16130" max="16130" width="3.6328125" style="159" customWidth="1"/>
    <col min="16131" max="16131" width="36.36328125" style="159" customWidth="1"/>
    <col min="16132" max="16132" width="49.08984375" style="159" customWidth="1"/>
    <col min="16133" max="16384" width="9" style="159"/>
  </cols>
  <sheetData>
    <row r="1" spans="1:4" ht="18" customHeight="1" x14ac:dyDescent="0.2">
      <c r="D1" s="160" t="str">
        <f>'MPS(input_Option1)'!K1</f>
        <v>Monitoring Spreadsheet: JCM_KH_AM004_ver01.1</v>
      </c>
    </row>
    <row r="2" spans="1:4" ht="18" customHeight="1" x14ac:dyDescent="0.2">
      <c r="D2" s="160" t="str">
        <f>'MPS(input_Option1)'!K2</f>
        <v>Reference Number: KH005</v>
      </c>
    </row>
    <row r="3" spans="1:4" ht="24" customHeight="1" x14ac:dyDescent="0.2">
      <c r="A3" s="240" t="s">
        <v>432</v>
      </c>
      <c r="B3" s="240"/>
      <c r="C3" s="240"/>
      <c r="D3" s="240"/>
    </row>
    <row r="5" spans="1:4" ht="13.5" customHeight="1" x14ac:dyDescent="0.2">
      <c r="A5" s="233" t="s">
        <v>433</v>
      </c>
      <c r="B5" s="233"/>
      <c r="C5" s="233"/>
      <c r="D5" s="233"/>
    </row>
    <row r="7" spans="1:4" s="171" customFormat="1" ht="30.75" customHeight="1" x14ac:dyDescent="0.2">
      <c r="B7" s="15" t="s">
        <v>15</v>
      </c>
      <c r="C7" s="236" t="s">
        <v>434</v>
      </c>
      <c r="D7" s="237"/>
    </row>
    <row r="8" spans="1:4" s="171" customFormat="1" ht="49.5" customHeight="1" x14ac:dyDescent="0.2">
      <c r="B8" s="162"/>
      <c r="C8" s="234"/>
      <c r="D8" s="235"/>
    </row>
    <row r="9" spans="1:4" s="171" customFormat="1" ht="49.5" customHeight="1" x14ac:dyDescent="0.2">
      <c r="B9" s="162"/>
      <c r="C9" s="234"/>
      <c r="D9" s="235"/>
    </row>
    <row r="10" spans="1:4" s="171" customFormat="1" ht="49.5" customHeight="1" x14ac:dyDescent="0.2">
      <c r="B10" s="162"/>
      <c r="C10" s="234"/>
      <c r="D10" s="235"/>
    </row>
    <row r="13" spans="1:4" ht="13.5" customHeight="1" x14ac:dyDescent="0.2">
      <c r="A13" s="233" t="s">
        <v>435</v>
      </c>
      <c r="B13" s="233"/>
      <c r="C13" s="233"/>
      <c r="D13" s="233"/>
    </row>
    <row r="15" spans="1:4" ht="200.15" customHeight="1" x14ac:dyDescent="0.2">
      <c r="B15" s="234"/>
      <c r="C15" s="244"/>
      <c r="D15" s="235"/>
    </row>
    <row r="18" spans="1:4" ht="13.5" customHeight="1" x14ac:dyDescent="0.2">
      <c r="A18" s="233" t="s">
        <v>436</v>
      </c>
      <c r="B18" s="233"/>
      <c r="C18" s="233"/>
      <c r="D18" s="233"/>
    </row>
    <row r="20" spans="1:4" s="171" customFormat="1" ht="30.75" customHeight="1" x14ac:dyDescent="0.2">
      <c r="B20" s="15" t="s">
        <v>15</v>
      </c>
      <c r="C20" s="236" t="s">
        <v>437</v>
      </c>
      <c r="D20" s="237"/>
    </row>
    <row r="21" spans="1:4" s="171" customFormat="1" ht="49.5" customHeight="1" x14ac:dyDescent="0.2">
      <c r="B21" s="162"/>
      <c r="C21" s="234"/>
      <c r="D21" s="235"/>
    </row>
    <row r="22" spans="1:4" s="171" customFormat="1" ht="49.5" customHeight="1" x14ac:dyDescent="0.2">
      <c r="B22" s="162"/>
      <c r="C22" s="234"/>
      <c r="D22" s="235"/>
    </row>
    <row r="23" spans="1:4" s="171" customFormat="1" ht="49.5" customHeight="1" x14ac:dyDescent="0.2">
      <c r="B23" s="162"/>
      <c r="C23" s="234"/>
      <c r="D23" s="235"/>
    </row>
    <row r="24" spans="1:4" s="171" customFormat="1" ht="49.5" customHeight="1" x14ac:dyDescent="0.2">
      <c r="B24" s="162"/>
      <c r="C24" s="234"/>
      <c r="D24" s="235"/>
    </row>
    <row r="25" spans="1:4" s="171" customFormat="1" ht="49.5" customHeight="1" x14ac:dyDescent="0.2">
      <c r="B25" s="162"/>
      <c r="C25" s="234"/>
      <c r="D25" s="235"/>
    </row>
    <row r="26" spans="1:4" s="171" customFormat="1" ht="49.5" customHeight="1" x14ac:dyDescent="0.2">
      <c r="B26" s="162"/>
      <c r="C26" s="234"/>
      <c r="D26" s="235"/>
    </row>
    <row r="27" spans="1:4" s="171" customFormat="1" ht="49.5" customHeight="1" x14ac:dyDescent="0.2">
      <c r="B27" s="162"/>
      <c r="C27" s="234"/>
      <c r="D27" s="235"/>
    </row>
    <row r="28" spans="1:4" s="171" customFormat="1" ht="49.5" customHeight="1" x14ac:dyDescent="0.2">
      <c r="B28" s="162"/>
      <c r="C28" s="234"/>
      <c r="D28" s="235"/>
    </row>
    <row r="31" spans="1:4" ht="13.5" customHeight="1" x14ac:dyDescent="0.2">
      <c r="A31" s="233" t="s">
        <v>422</v>
      </c>
      <c r="B31" s="233"/>
      <c r="C31" s="233"/>
      <c r="D31" s="233"/>
    </row>
    <row r="32" spans="1:4" ht="14" x14ac:dyDescent="0.2">
      <c r="A32" s="230"/>
      <c r="B32" s="231"/>
      <c r="C32" s="231"/>
      <c r="D32" s="232"/>
    </row>
    <row r="33" spans="1:4" ht="14" x14ac:dyDescent="0.2">
      <c r="A33" s="230"/>
      <c r="B33" s="231"/>
      <c r="C33" s="231"/>
      <c r="D33" s="232"/>
    </row>
  </sheetData>
  <sheetProtection algorithmName="SHA-512" hashValue="3kTTuuNnZMqgvVM8p5sWoE0SHHGORDa1fyvvFQwrFZTUbiT3ozgJx2ci5W3kqmGoBp2npBXKYUcu1dZh+/h74A==" saltValue="QsfeFidnzsCCNnIIRYpe9A==" spinCount="100000" sheet="1" formatCells="0" formatRows="0" insertRows="0"/>
  <mergeCells count="21">
    <mergeCell ref="A3:D3"/>
    <mergeCell ref="A5:D5"/>
    <mergeCell ref="C7:D7"/>
    <mergeCell ref="C8:D8"/>
    <mergeCell ref="C9:D9"/>
    <mergeCell ref="C10:D10"/>
    <mergeCell ref="C22:D22"/>
    <mergeCell ref="A31:D31"/>
    <mergeCell ref="A32:D32"/>
    <mergeCell ref="A33:D33"/>
    <mergeCell ref="A13:D13"/>
    <mergeCell ref="B15:D15"/>
    <mergeCell ref="A18:D18"/>
    <mergeCell ref="C20:D20"/>
    <mergeCell ref="C21:D21"/>
    <mergeCell ref="C23:D23"/>
    <mergeCell ref="C24:D24"/>
    <mergeCell ref="C25:D25"/>
    <mergeCell ref="C26:D26"/>
    <mergeCell ref="C27:D27"/>
    <mergeCell ref="C28:D28"/>
  </mergeCells>
  <phoneticPr fontId="9"/>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1791-BDEE-4393-98D7-C226C39939EF}">
  <sheetPr>
    <tabColor theme="3" tint="0.39997558519241921"/>
  </sheetPr>
  <dimension ref="A1:AC42"/>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7.08984375" style="1" customWidth="1"/>
    <col min="3" max="14" width="10.6328125" style="2" customWidth="1"/>
    <col min="15" max="26" width="10.6328125" style="1" customWidth="1"/>
    <col min="27" max="27" width="17.08984375" style="1" customWidth="1"/>
    <col min="28" max="28" width="11.08984375" style="1" customWidth="1"/>
    <col min="29" max="29" width="10.6328125" style="1" customWidth="1"/>
    <col min="30" max="113" width="6.6328125" style="1" customWidth="1"/>
    <col min="114" max="16384" width="8.90625" style="1"/>
  </cols>
  <sheetData>
    <row r="1" spans="1:29" x14ac:dyDescent="0.2">
      <c r="C1" s="47"/>
      <c r="D1" s="47"/>
      <c r="E1" s="47"/>
      <c r="F1" s="47"/>
      <c r="G1" s="47"/>
      <c r="H1" s="47"/>
      <c r="I1" s="47"/>
      <c r="J1" s="47"/>
      <c r="K1" s="47"/>
      <c r="L1" s="47"/>
      <c r="M1" s="47"/>
      <c r="N1" s="47"/>
      <c r="AC1" s="48" t="str">
        <f>'MPS(input_Option1)'!K1</f>
        <v>Monitoring Spreadsheet: JCM_KH_AM004_ver01.1</v>
      </c>
    </row>
    <row r="2" spans="1:29" x14ac:dyDescent="0.2">
      <c r="C2" s="47"/>
      <c r="D2" s="47"/>
      <c r="E2" s="47"/>
      <c r="F2" s="47"/>
      <c r="G2" s="47"/>
      <c r="H2" s="47"/>
      <c r="I2" s="47"/>
      <c r="J2" s="47"/>
      <c r="K2" s="47"/>
      <c r="L2" s="47"/>
      <c r="M2" s="47"/>
      <c r="N2" s="47"/>
      <c r="AC2" s="48" t="str">
        <f>'MPS(input_Option1)'!K2</f>
        <v>Reference Number: KH005</v>
      </c>
    </row>
    <row r="3" spans="1:29" ht="16" x14ac:dyDescent="0.2">
      <c r="A3" s="213" t="s">
        <v>230</v>
      </c>
      <c r="B3" s="213"/>
      <c r="C3" s="211" t="s">
        <v>231</v>
      </c>
      <c r="D3" s="211"/>
      <c r="E3" s="211"/>
      <c r="F3" s="211"/>
      <c r="G3" s="211"/>
      <c r="H3" s="211"/>
      <c r="I3" s="211"/>
      <c r="J3" s="211"/>
      <c r="K3" s="211"/>
      <c r="L3" s="211"/>
      <c r="M3" s="211"/>
      <c r="N3" s="211"/>
      <c r="O3" s="212" t="s">
        <v>232</v>
      </c>
      <c r="P3" s="212"/>
      <c r="Q3" s="212"/>
      <c r="R3" s="212"/>
      <c r="S3" s="212"/>
      <c r="T3" s="212"/>
      <c r="U3" s="212"/>
      <c r="V3" s="212"/>
      <c r="W3" s="212"/>
      <c r="X3" s="212"/>
      <c r="Y3" s="212"/>
      <c r="Z3" s="212"/>
      <c r="AA3" s="49" t="s">
        <v>233</v>
      </c>
      <c r="AB3" s="21" t="s">
        <v>133</v>
      </c>
      <c r="AC3" s="21" t="s">
        <v>234</v>
      </c>
    </row>
    <row r="4" spans="1:29" ht="56.5" x14ac:dyDescent="0.2">
      <c r="A4" s="213" t="s">
        <v>235</v>
      </c>
      <c r="B4" s="213"/>
      <c r="C4" s="211" t="s">
        <v>236</v>
      </c>
      <c r="D4" s="211"/>
      <c r="E4" s="211"/>
      <c r="F4" s="211"/>
      <c r="G4" s="211"/>
      <c r="H4" s="211"/>
      <c r="I4" s="211"/>
      <c r="J4" s="211"/>
      <c r="K4" s="211"/>
      <c r="L4" s="211"/>
      <c r="M4" s="211"/>
      <c r="N4" s="211"/>
      <c r="O4" s="212" t="s">
        <v>237</v>
      </c>
      <c r="P4" s="212"/>
      <c r="Q4" s="212"/>
      <c r="R4" s="212"/>
      <c r="S4" s="212"/>
      <c r="T4" s="212"/>
      <c r="U4" s="212"/>
      <c r="V4" s="212"/>
      <c r="W4" s="212"/>
      <c r="X4" s="212"/>
      <c r="Y4" s="212"/>
      <c r="Z4" s="212"/>
      <c r="AA4" s="174" t="s">
        <v>238</v>
      </c>
      <c r="AB4" s="174" t="s">
        <v>239</v>
      </c>
      <c r="AC4" s="174" t="s">
        <v>240</v>
      </c>
    </row>
    <row r="5" spans="1:29" ht="17.5" x14ac:dyDescent="0.2">
      <c r="A5" s="213" t="s">
        <v>241</v>
      </c>
      <c r="B5" s="213"/>
      <c r="C5" s="211" t="s">
        <v>27</v>
      </c>
      <c r="D5" s="211"/>
      <c r="E5" s="211"/>
      <c r="F5" s="211"/>
      <c r="G5" s="211"/>
      <c r="H5" s="211"/>
      <c r="I5" s="211"/>
      <c r="J5" s="211"/>
      <c r="K5" s="211"/>
      <c r="L5" s="211"/>
      <c r="M5" s="211"/>
      <c r="N5" s="211"/>
      <c r="O5" s="212" t="s">
        <v>242</v>
      </c>
      <c r="P5" s="212"/>
      <c r="Q5" s="212"/>
      <c r="R5" s="212"/>
      <c r="S5" s="212"/>
      <c r="T5" s="212"/>
      <c r="U5" s="212"/>
      <c r="V5" s="212"/>
      <c r="W5" s="212"/>
      <c r="X5" s="212"/>
      <c r="Y5" s="212"/>
      <c r="Z5" s="212"/>
      <c r="AA5" s="49" t="s">
        <v>243</v>
      </c>
      <c r="AB5" s="174" t="s">
        <v>244</v>
      </c>
      <c r="AC5" s="174" t="s">
        <v>244</v>
      </c>
    </row>
    <row r="6" spans="1:29" ht="42" x14ac:dyDescent="0.2">
      <c r="A6" s="213" t="s">
        <v>245</v>
      </c>
      <c r="B6" s="213"/>
      <c r="C6" s="50" t="s">
        <v>246</v>
      </c>
      <c r="D6" s="50" t="s">
        <v>247</v>
      </c>
      <c r="E6" s="50" t="s">
        <v>248</v>
      </c>
      <c r="F6" s="50" t="s">
        <v>249</v>
      </c>
      <c r="G6" s="50" t="s">
        <v>250</v>
      </c>
      <c r="H6" s="50" t="s">
        <v>251</v>
      </c>
      <c r="I6" s="50" t="s">
        <v>252</v>
      </c>
      <c r="J6" s="50" t="s">
        <v>253</v>
      </c>
      <c r="K6" s="50" t="s">
        <v>254</v>
      </c>
      <c r="L6" s="50" t="s">
        <v>255</v>
      </c>
      <c r="M6" s="50" t="s">
        <v>256</v>
      </c>
      <c r="N6" s="50" t="s">
        <v>257</v>
      </c>
      <c r="O6" s="51" t="s">
        <v>246</v>
      </c>
      <c r="P6" s="51" t="s">
        <v>247</v>
      </c>
      <c r="Q6" s="52" t="s">
        <v>248</v>
      </c>
      <c r="R6" s="51" t="s">
        <v>249</v>
      </c>
      <c r="S6" s="51" t="s">
        <v>250</v>
      </c>
      <c r="T6" s="51" t="s">
        <v>251</v>
      </c>
      <c r="U6" s="51" t="s">
        <v>252</v>
      </c>
      <c r="V6" s="51" t="s">
        <v>253</v>
      </c>
      <c r="W6" s="51" t="s">
        <v>254</v>
      </c>
      <c r="X6" s="51" t="s">
        <v>255</v>
      </c>
      <c r="Y6" s="51" t="s">
        <v>256</v>
      </c>
      <c r="Z6" s="51" t="s">
        <v>257</v>
      </c>
      <c r="AA6" s="49" t="s">
        <v>26</v>
      </c>
      <c r="AB6" s="49" t="s">
        <v>26</v>
      </c>
      <c r="AC6" s="49" t="s">
        <v>26</v>
      </c>
    </row>
    <row r="7" spans="1:29" ht="28" x14ac:dyDescent="0.2">
      <c r="A7" s="53" t="s">
        <v>258</v>
      </c>
      <c r="B7" s="45">
        <v>2018</v>
      </c>
      <c r="C7" s="46">
        <v>57850.2228258658</v>
      </c>
      <c r="D7" s="46">
        <v>16818.740306539457</v>
      </c>
      <c r="E7" s="46"/>
      <c r="F7" s="46">
        <v>8637.5787346172583</v>
      </c>
      <c r="G7" s="46">
        <v>1013.70277980745</v>
      </c>
      <c r="H7" s="46"/>
      <c r="I7" s="46"/>
      <c r="J7" s="46"/>
      <c r="K7" s="46">
        <v>2417.6641673718545</v>
      </c>
      <c r="L7" s="46"/>
      <c r="M7" s="46"/>
      <c r="N7" s="46">
        <v>0</v>
      </c>
      <c r="O7" s="54" t="s">
        <v>26</v>
      </c>
      <c r="P7" s="54" t="s">
        <v>26</v>
      </c>
      <c r="Q7" s="54" t="s">
        <v>26</v>
      </c>
      <c r="R7" s="54" t="s">
        <v>26</v>
      </c>
      <c r="S7" s="54" t="s">
        <v>26</v>
      </c>
      <c r="T7" s="54" t="s">
        <v>26</v>
      </c>
      <c r="U7" s="54" t="s">
        <v>26</v>
      </c>
      <c r="V7" s="54" t="s">
        <v>26</v>
      </c>
      <c r="W7" s="54" t="s">
        <v>26</v>
      </c>
      <c r="X7" s="54" t="s">
        <v>26</v>
      </c>
      <c r="Y7" s="54" t="s">
        <v>26</v>
      </c>
      <c r="Z7" s="54" t="s">
        <v>26</v>
      </c>
      <c r="AA7" s="54" t="s">
        <v>26</v>
      </c>
      <c r="AB7" s="94" t="s">
        <v>26</v>
      </c>
      <c r="AC7" s="94" t="s">
        <v>26</v>
      </c>
    </row>
    <row r="8" spans="1:29" x14ac:dyDescent="0.2">
      <c r="A8" s="214" t="s">
        <v>221</v>
      </c>
      <c r="B8" s="177">
        <v>2018</v>
      </c>
      <c r="C8" s="55">
        <f>IFERROR(C7*(1-'MPS(input_Option1)'!$E$37*$AB8/$AC8),0)</f>
        <v>56686.006903215399</v>
      </c>
      <c r="D8" s="55">
        <f>IFERROR(D7*(1-'MPS(input_Option1)'!$E$38*$AB8/$AC8),0)</f>
        <v>16398.709546911348</v>
      </c>
      <c r="E8" s="55">
        <f>IFERROR(E7*(1-'MPS(input_Option1)'!$E$39*$AB8/$AC8),0)</f>
        <v>0</v>
      </c>
      <c r="F8" s="55">
        <f>IFERROR(F7*(1-'MPS(input_Option1)'!$E$40*$AB8/$AC8),0)</f>
        <v>8396.7322755170735</v>
      </c>
      <c r="G8" s="55">
        <f>IFERROR(G7*(1-'MPS(input_Option1)'!$E$41*$AB8/$AC8),0)</f>
        <v>1002.15073401948</v>
      </c>
      <c r="H8" s="55">
        <f>IFERROR(H7*(1-'MPS(input_Option1)'!$E$42*$AB8/$AC8),0)</f>
        <v>0</v>
      </c>
      <c r="I8" s="55">
        <f>IFERROR(I7*(1-'MPS(input_Option1)'!$E$43*$AB8/$AC8),0)</f>
        <v>0</v>
      </c>
      <c r="J8" s="55">
        <f>IFERROR(J7*(1-'MPS(input_Option1)'!$E$44*$AB8/$AC8),0)</f>
        <v>0</v>
      </c>
      <c r="K8" s="55">
        <f>IFERROR(K7*(1-'MPS(input_Option1)'!$E$45*$AB8/$AC8),0)</f>
        <v>2227.7351198780993</v>
      </c>
      <c r="L8" s="55">
        <f>IFERROR(L7*(1-'MPS(input_Option1)'!$E$46*$AB8/$AC8),0)</f>
        <v>0</v>
      </c>
      <c r="M8" s="55">
        <f>IFERROR(M7*(1-'MPS(input_Option1)'!$E$47*$AB8/$AC8),0)</f>
        <v>0</v>
      </c>
      <c r="N8" s="55">
        <f>SUM(C$7:N$7)-SUM(C8:M8)</f>
        <v>2026.5742346604238</v>
      </c>
      <c r="O8" s="55">
        <f>IFERROR(C7*'MPS(input_Option1)'!$E$37*$AB8/$AC8*'MPS(input_Option1)'!$E$59,0)</f>
        <v>106292.91373798181</v>
      </c>
      <c r="P8" s="55">
        <f>IFERROR(D7*'MPS(input_Option1)'!$E$38*$AB8/$AC8*'MPS(input_Option1)'!$E$60,0)</f>
        <v>56750.355933354054</v>
      </c>
      <c r="Q8" s="55">
        <f>IFERROR(E7*'MPS(input_Option1)'!$E$39*$AB8/$AC8*'MPS(input_Option1)'!$E$61,0)</f>
        <v>0</v>
      </c>
      <c r="R8" s="55">
        <f>IFERROR(F7*'MPS(input_Option1)'!$E$40*$AB8/$AC8*'MPS(input_Option1)'!$E$62,0)</f>
        <v>11611.20779321987</v>
      </c>
      <c r="S8" s="55">
        <f>IFERROR(G7*'MPS(input_Option1)'!$E$41*$AB8/$AC8*'MPS(input_Option1)'!$E$63,0)</f>
        <v>0</v>
      </c>
      <c r="T8" s="55">
        <f>IFERROR(H7*'MPS(input_Option1)'!$E$42*$AB8/$AC8*'MPS(input_Option1)'!$E$64,0)</f>
        <v>0</v>
      </c>
      <c r="U8" s="55">
        <f>IFERROR(I7*'MPS(input_Option1)'!$E$43*$AB8/$AC8*'MPS(input_Option1)'!$E$65,0)</f>
        <v>0</v>
      </c>
      <c r="V8" s="55">
        <f>IFERROR(J7*'MPS(input_Option1)'!$E$44*$AB8/$AC8*'MPS(input_Option1)'!$E$66,0)</f>
        <v>0</v>
      </c>
      <c r="W8" s="55">
        <f>IFERROR(K7*'MPS(input_Option1)'!$E$45*$AB8/$AC8*'MPS(input_Option1)'!$E$67,0)</f>
        <v>8100.4738756086481</v>
      </c>
      <c r="X8" s="55">
        <f>IFERROR(L7*'MPS(input_Option1)'!$E$46*$AB8/$AC8*'MPS(input_Option1)'!$E$68,0)</f>
        <v>0</v>
      </c>
      <c r="Y8" s="55">
        <f>IFERROR(M7*'MPS(input_Option1)'!$E$47*$AB8/$AC8*'MPS(input_Option1)'!$E$69,0)</f>
        <v>0</v>
      </c>
      <c r="Z8" s="55">
        <f>IFERROR(N7*$AB8/$AC8*0,0)</f>
        <v>0</v>
      </c>
      <c r="AA8" s="56">
        <f>SUM(O8:Z8)*(44/12)</f>
        <v>670101.48824726942</v>
      </c>
      <c r="AB8" s="46">
        <f>(365-31-28-11)</f>
        <v>295</v>
      </c>
      <c r="AC8" s="46">
        <v>365</v>
      </c>
    </row>
    <row r="9" spans="1:29" x14ac:dyDescent="0.2">
      <c r="A9" s="215"/>
      <c r="B9" s="178">
        <f t="shared" ref="B9:B19" si="0">B8+1</f>
        <v>2019</v>
      </c>
      <c r="C9" s="55">
        <f>C8*(1-'MPS(input_Option1)'!$E$37)</f>
        <v>55274.525331325334</v>
      </c>
      <c r="D9" s="55">
        <f>D8*(1-'MPS(input_Option1)'!$E$38)</f>
        <v>15891.989421911787</v>
      </c>
      <c r="E9" s="55">
        <f>E8*(1-'MPS(input_Option1)'!$E$39)</f>
        <v>0</v>
      </c>
      <c r="F9" s="55">
        <f>F8*(1-'MPS(input_Option1)'!$E$40)</f>
        <v>8107.0450120117348</v>
      </c>
      <c r="G9" s="55">
        <f>G8*(1-'MPS(input_Option1)'!$E$41)</f>
        <v>988.02040866980531</v>
      </c>
      <c r="H9" s="55">
        <f>H8*(1-'MPS(input_Option1)'!$E$42)</f>
        <v>0</v>
      </c>
      <c r="I9" s="55">
        <f>I8*(1-'MPS(input_Option1)'!$E$43)</f>
        <v>0</v>
      </c>
      <c r="J9" s="55">
        <f>J8*(1-'MPS(input_Option1)'!$E$44)</f>
        <v>0</v>
      </c>
      <c r="K9" s="55">
        <f>K8*(1-'MPS(input_Option1)'!$E$45)</f>
        <v>2011.1992662259481</v>
      </c>
      <c r="L9" s="55">
        <f>L8*(1-'MPS(input_Option1)'!$E$46)</f>
        <v>0</v>
      </c>
      <c r="M9" s="55">
        <f>M8*(1-'MPS(input_Option1)'!$E$47)</f>
        <v>0</v>
      </c>
      <c r="N9" s="55">
        <f>SUM(C$7:N$7)-SUM(C9:M9)</f>
        <v>4465.1293740572291</v>
      </c>
      <c r="O9" s="55">
        <f>IFERROR(C8*'MPS(input_Option1)'!$E$37*$AB9/$AC9*'MPS(input_Option1)'!$E$59,0)</f>
        <v>128868.26751356278</v>
      </c>
      <c r="P9" s="55">
        <f>IFERROR(D8*'MPS(input_Option1)'!$E$38*$AB9/$AC9*'MPS(input_Option1)'!$E$60,0)</f>
        <v>68462.95608869064</v>
      </c>
      <c r="Q9" s="55">
        <f>IFERROR(E8*'MPS(input_Option1)'!$E$39*$AB9/$AC9*'MPS(input_Option1)'!$E$61,0)</f>
        <v>0</v>
      </c>
      <c r="R9" s="55">
        <f>IFERROR(F8*'MPS(input_Option1)'!$E$40*$AB9/$AC9*'MPS(input_Option1)'!$E$62,0)</f>
        <v>13965.822973592396</v>
      </c>
      <c r="S9" s="55">
        <f>IFERROR(G8*'MPS(input_Option1)'!$E$41*$AB9/$AC9*'MPS(input_Option1)'!$E$63,0)</f>
        <v>0</v>
      </c>
      <c r="T9" s="55">
        <f>IFERROR(H8*'MPS(input_Option1)'!$E$42*$AB9/$AC9*'MPS(input_Option1)'!$E$64,0)</f>
        <v>0</v>
      </c>
      <c r="U9" s="55">
        <f>IFERROR(I8*'MPS(input_Option1)'!$E$43*$AB9/$AC9*'MPS(input_Option1)'!$E$65,0)</f>
        <v>0</v>
      </c>
      <c r="V9" s="55">
        <f>IFERROR(J8*'MPS(input_Option1)'!$E$44*$AB9/$AC9*'MPS(input_Option1)'!$E$66,0)</f>
        <v>0</v>
      </c>
      <c r="W9" s="55">
        <f>IFERROR(K8*'MPS(input_Option1)'!$E$45*$AB9/$AC9*'MPS(input_Option1)'!$E$67,0)</f>
        <v>9235.2541582642498</v>
      </c>
      <c r="X9" s="55">
        <f>IFERROR(L8*'MPS(input_Option1)'!$E$46*$AB9/$AC9*'MPS(input_Option1)'!$E$68,0)</f>
        <v>0</v>
      </c>
      <c r="Y9" s="55">
        <f>IFERROR(M8*'MPS(input_Option1)'!$E$47*$AB9/$AC9*'MPS(input_Option1)'!$E$69,0)</f>
        <v>0</v>
      </c>
      <c r="Z9" s="55">
        <f t="shared" ref="Z9:Z19" si="1">IFERROR(N8*$AB9/$AC9*0,0)</f>
        <v>0</v>
      </c>
      <c r="AA9" s="56">
        <f t="shared" ref="AA9:AA19" si="2">SUM(O9:Z9)*(44/12)</f>
        <v>808618.43602507014</v>
      </c>
      <c r="AB9" s="46">
        <f>AC9</f>
        <v>365</v>
      </c>
      <c r="AC9" s="46">
        <v>365</v>
      </c>
    </row>
    <row r="10" spans="1:29" x14ac:dyDescent="0.2">
      <c r="A10" s="215"/>
      <c r="B10" s="178">
        <f t="shared" si="0"/>
        <v>2020</v>
      </c>
      <c r="C10" s="55">
        <f>C9*(1-'MPS(input_Option1)'!$E$37)</f>
        <v>53898.189650575332</v>
      </c>
      <c r="D10" s="55">
        <f>D9*(1-'MPS(input_Option1)'!$E$38)</f>
        <v>15400.926948774711</v>
      </c>
      <c r="E10" s="55">
        <f>E9*(1-'MPS(input_Option1)'!$E$39)</f>
        <v>0</v>
      </c>
      <c r="F10" s="55">
        <f>F9*(1-'MPS(input_Option1)'!$E$40)</f>
        <v>7827.3519590973301</v>
      </c>
      <c r="G10" s="55">
        <f>G9*(1-'MPS(input_Option1)'!$E$41)</f>
        <v>974.08932090756105</v>
      </c>
      <c r="H10" s="55">
        <f>H9*(1-'MPS(input_Option1)'!$E$42)</f>
        <v>0</v>
      </c>
      <c r="I10" s="55">
        <f>I9*(1-'MPS(input_Option1)'!$E$43)</f>
        <v>0</v>
      </c>
      <c r="J10" s="55">
        <f>J9*(1-'MPS(input_Option1)'!$E$44)</f>
        <v>0</v>
      </c>
      <c r="K10" s="55">
        <f>K9*(1-'MPS(input_Option1)'!$E$45)</f>
        <v>1815.7106975487861</v>
      </c>
      <c r="L10" s="55">
        <f>L9*(1-'MPS(input_Option1)'!$E$46)</f>
        <v>0</v>
      </c>
      <c r="M10" s="55">
        <f>M9*(1-'MPS(input_Option1)'!$E$47)</f>
        <v>0</v>
      </c>
      <c r="N10" s="55">
        <f t="shared" ref="N10:N19" si="3">SUM(C$7:N$7)-SUM(C10:M10)</f>
        <v>6821.6402372981102</v>
      </c>
      <c r="O10" s="55">
        <f>IFERROR(C9*'MPS(input_Option1)'!$E$37*$AB10/$AC10*'MPS(input_Option1)'!$E$59,0)</f>
        <v>125659.44765247508</v>
      </c>
      <c r="P10" s="55">
        <f>IFERROR(D9*'MPS(input_Option1)'!$E$38*$AB10/$AC10*'MPS(input_Option1)'!$E$60,0)</f>
        <v>66347.450745550101</v>
      </c>
      <c r="Q10" s="55">
        <f>IFERROR(E9*'MPS(input_Option1)'!$E$39*$AB10/$AC10*'MPS(input_Option1)'!$E$61,0)</f>
        <v>0</v>
      </c>
      <c r="R10" s="55">
        <f>IFERROR(F9*'MPS(input_Option1)'!$E$40*$AB10/$AC10*'MPS(input_Option1)'!$E$62,0)</f>
        <v>13484.002081003458</v>
      </c>
      <c r="S10" s="55">
        <f>IFERROR(G9*'MPS(input_Option1)'!$E$41*$AB10/$AC10*'MPS(input_Option1)'!$E$63,0)</f>
        <v>0</v>
      </c>
      <c r="T10" s="55">
        <f>IFERROR(H9*'MPS(input_Option1)'!$E$42*$AB10/$AC10*'MPS(input_Option1)'!$E$64,0)</f>
        <v>0</v>
      </c>
      <c r="U10" s="55">
        <f>IFERROR(I9*'MPS(input_Option1)'!$E$43*$AB10/$AC10*'MPS(input_Option1)'!$E$65,0)</f>
        <v>0</v>
      </c>
      <c r="V10" s="55">
        <f>IFERROR(J9*'MPS(input_Option1)'!$E$44*$AB10/$AC10*'MPS(input_Option1)'!$E$66,0)</f>
        <v>0</v>
      </c>
      <c r="W10" s="55">
        <f>IFERROR(K9*'MPS(input_Option1)'!$E$45*$AB10/$AC10*'MPS(input_Option1)'!$E$67,0)</f>
        <v>8337.5874540809637</v>
      </c>
      <c r="X10" s="55">
        <f>IFERROR(L9*'MPS(input_Option1)'!$E$46*$AB10/$AC10*'MPS(input_Option1)'!$E$68,0)</f>
        <v>0</v>
      </c>
      <c r="Y10" s="55">
        <f>IFERROR(M9*'MPS(input_Option1)'!$E$47*$AB10/$AC10*'MPS(input_Option1)'!$E$69,0)</f>
        <v>0</v>
      </c>
      <c r="Z10" s="55">
        <f t="shared" si="1"/>
        <v>0</v>
      </c>
      <c r="AA10" s="56">
        <f t="shared" si="2"/>
        <v>784037.78908806853</v>
      </c>
      <c r="AB10" s="46">
        <f t="shared" ref="AB10:AB19" si="4">AC10</f>
        <v>366</v>
      </c>
      <c r="AC10" s="46">
        <v>366</v>
      </c>
    </row>
    <row r="11" spans="1:29" x14ac:dyDescent="0.2">
      <c r="A11" s="215"/>
      <c r="B11" s="178">
        <f t="shared" si="0"/>
        <v>2021</v>
      </c>
      <c r="C11" s="55">
        <f>C10*(1-'MPS(input_Option1)'!$E$37)</f>
        <v>52556.124728276001</v>
      </c>
      <c r="D11" s="55">
        <f>D10*(1-'MPS(input_Option1)'!$E$38)</f>
        <v>14925.038306057573</v>
      </c>
      <c r="E11" s="55">
        <f>E10*(1-'MPS(input_Option1)'!$E$39)</f>
        <v>0</v>
      </c>
      <c r="F11" s="55">
        <f>F10*(1-'MPS(input_Option1)'!$E$40)</f>
        <v>7557.3083165084727</v>
      </c>
      <c r="G11" s="55">
        <f>G10*(1-'MPS(input_Option1)'!$E$41)</f>
        <v>960.35466148276441</v>
      </c>
      <c r="H11" s="55">
        <f>H10*(1-'MPS(input_Option1)'!$E$42)</f>
        <v>0</v>
      </c>
      <c r="I11" s="55">
        <f>I10*(1-'MPS(input_Option1)'!$E$43)</f>
        <v>0</v>
      </c>
      <c r="J11" s="55">
        <f>J10*(1-'MPS(input_Option1)'!$E$44)</f>
        <v>0</v>
      </c>
      <c r="K11" s="55">
        <f>K10*(1-'MPS(input_Option1)'!$E$45)</f>
        <v>1639.2236177470443</v>
      </c>
      <c r="L11" s="55">
        <f>L10*(1-'MPS(input_Option1)'!$E$46)</f>
        <v>0</v>
      </c>
      <c r="M11" s="55">
        <f>M10*(1-'MPS(input_Option1)'!$E$47)</f>
        <v>0</v>
      </c>
      <c r="N11" s="55">
        <f t="shared" si="3"/>
        <v>9099.8591841299785</v>
      </c>
      <c r="O11" s="55">
        <f>IFERROR(C10*'MPS(input_Option1)'!$E$37*$AB11/$AC11*'MPS(input_Option1)'!$E$59,0)</f>
        <v>122530.52740592843</v>
      </c>
      <c r="P11" s="55">
        <f>IFERROR(D10*'MPS(input_Option1)'!$E$38*$AB11/$AC11*'MPS(input_Option1)'!$E$60,0)</f>
        <v>64297.314517512597</v>
      </c>
      <c r="Q11" s="55">
        <f>IFERROR(E10*'MPS(input_Option1)'!$E$39*$AB11/$AC11*'MPS(input_Option1)'!$E$61,0)</f>
        <v>0</v>
      </c>
      <c r="R11" s="55">
        <f>IFERROR(F10*'MPS(input_Option1)'!$E$40*$AB11/$AC11*'MPS(input_Option1)'!$E$62,0)</f>
        <v>13018.804009208839</v>
      </c>
      <c r="S11" s="55">
        <f>IFERROR(G10*'MPS(input_Option1)'!$E$41*$AB11/$AC11*'MPS(input_Option1)'!$E$63,0)</f>
        <v>0</v>
      </c>
      <c r="T11" s="55">
        <f>IFERROR(H10*'MPS(input_Option1)'!$E$42*$AB11/$AC11*'MPS(input_Option1)'!$E$64,0)</f>
        <v>0</v>
      </c>
      <c r="U11" s="55">
        <f>IFERROR(I10*'MPS(input_Option1)'!$E$43*$AB11/$AC11*'MPS(input_Option1)'!$E$65,0)</f>
        <v>0</v>
      </c>
      <c r="V11" s="55">
        <f>IFERROR(J10*'MPS(input_Option1)'!$E$44*$AB11/$AC11*'MPS(input_Option1)'!$E$66,0)</f>
        <v>0</v>
      </c>
      <c r="W11" s="55">
        <f>IFERROR(K10*'MPS(input_Option1)'!$E$45*$AB11/$AC11*'MPS(input_Option1)'!$E$67,0)</f>
        <v>7527.1739535442957</v>
      </c>
      <c r="X11" s="55">
        <f>IFERROR(L10*'MPS(input_Option1)'!$E$46*$AB11/$AC11*'MPS(input_Option1)'!$E$68,0)</f>
        <v>0</v>
      </c>
      <c r="Y11" s="55">
        <f>IFERROR(M10*'MPS(input_Option1)'!$E$47*$AB11/$AC11*'MPS(input_Option1)'!$E$69,0)</f>
        <v>0</v>
      </c>
      <c r="Z11" s="55">
        <f t="shared" si="1"/>
        <v>0</v>
      </c>
      <c r="AA11" s="56">
        <f t="shared" si="2"/>
        <v>760370.67291604518</v>
      </c>
      <c r="AB11" s="46">
        <f t="shared" si="4"/>
        <v>365</v>
      </c>
      <c r="AC11" s="46">
        <v>365</v>
      </c>
    </row>
    <row r="12" spans="1:29" x14ac:dyDescent="0.2">
      <c r="A12" s="215"/>
      <c r="B12" s="178">
        <f t="shared" si="0"/>
        <v>2022</v>
      </c>
      <c r="C12" s="55">
        <f>C11*(1-'MPS(input_Option1)'!$E$37)</f>
        <v>51247.477222541929</v>
      </c>
      <c r="D12" s="55">
        <f>D11*(1-'MPS(input_Option1)'!$E$38)</f>
        <v>14463.854622400393</v>
      </c>
      <c r="E12" s="55">
        <f>E11*(1-'MPS(input_Option1)'!$E$39)</f>
        <v>0</v>
      </c>
      <c r="F12" s="55">
        <f>F11*(1-'MPS(input_Option1)'!$E$40)</f>
        <v>7296.5811795889304</v>
      </c>
      <c r="G12" s="55">
        <f>G11*(1-'MPS(input_Option1)'!$E$41)</f>
        <v>946.81366075585743</v>
      </c>
      <c r="H12" s="55">
        <f>H11*(1-'MPS(input_Option1)'!$E$42)</f>
        <v>0</v>
      </c>
      <c r="I12" s="55">
        <f>I11*(1-'MPS(input_Option1)'!$E$43)</f>
        <v>0</v>
      </c>
      <c r="J12" s="55">
        <f>J11*(1-'MPS(input_Option1)'!$E$44)</f>
        <v>0</v>
      </c>
      <c r="K12" s="55">
        <f>K11*(1-'MPS(input_Option1)'!$E$45)</f>
        <v>1479.8910821020318</v>
      </c>
      <c r="L12" s="55">
        <f>L11*(1-'MPS(input_Option1)'!$E$46)</f>
        <v>0</v>
      </c>
      <c r="M12" s="55">
        <f>M11*(1-'MPS(input_Option1)'!$E$47)</f>
        <v>0</v>
      </c>
      <c r="N12" s="55">
        <f t="shared" si="3"/>
        <v>11303.291046812694</v>
      </c>
      <c r="O12" s="55">
        <f>IFERROR(C11*'MPS(input_Option1)'!$E$37*$AB12/$AC12*'MPS(input_Option1)'!$E$59,0)</f>
        <v>119479.5172735208</v>
      </c>
      <c r="P12" s="55">
        <f>IFERROR(D11*'MPS(input_Option1)'!$E$38*$AB12/$AC12*'MPS(input_Option1)'!$E$60,0)</f>
        <v>62310.527498921467</v>
      </c>
      <c r="Q12" s="55">
        <f>IFERROR(E11*'MPS(input_Option1)'!$E$39*$AB12/$AC12*'MPS(input_Option1)'!$E$61,0)</f>
        <v>0</v>
      </c>
      <c r="R12" s="55">
        <f>IFERROR(F11*'MPS(input_Option1)'!$E$40*$AB12/$AC12*'MPS(input_Option1)'!$E$62,0)</f>
        <v>12569.655270891135</v>
      </c>
      <c r="S12" s="55">
        <f>IFERROR(G11*'MPS(input_Option1)'!$E$41*$AB12/$AC12*'MPS(input_Option1)'!$E$63,0)</f>
        <v>0</v>
      </c>
      <c r="T12" s="55">
        <f>IFERROR(H11*'MPS(input_Option1)'!$E$42*$AB12/$AC12*'MPS(input_Option1)'!$E$64,0)</f>
        <v>0</v>
      </c>
      <c r="U12" s="55">
        <f>IFERROR(I11*'MPS(input_Option1)'!$E$43*$AB12/$AC12*'MPS(input_Option1)'!$E$65,0)</f>
        <v>0</v>
      </c>
      <c r="V12" s="55">
        <f>IFERROR(J11*'MPS(input_Option1)'!$E$44*$AB12/$AC12*'MPS(input_Option1)'!$E$66,0)</f>
        <v>0</v>
      </c>
      <c r="W12" s="55">
        <f>IFERROR(K11*'MPS(input_Option1)'!$E$45*$AB12/$AC12*'MPS(input_Option1)'!$E$67,0)</f>
        <v>6795.532645259791</v>
      </c>
      <c r="X12" s="55">
        <f>IFERROR(L11*'MPS(input_Option1)'!$E$46*$AB12/$AC12*'MPS(input_Option1)'!$E$68,0)</f>
        <v>0</v>
      </c>
      <c r="Y12" s="55">
        <f>IFERROR(M11*'MPS(input_Option1)'!$E$47*$AB12/$AC12*'MPS(input_Option1)'!$E$69,0)</f>
        <v>0</v>
      </c>
      <c r="Z12" s="55">
        <f t="shared" si="1"/>
        <v>0</v>
      </c>
      <c r="AA12" s="56">
        <f t="shared" si="2"/>
        <v>737569.18652484159</v>
      </c>
      <c r="AB12" s="46">
        <f t="shared" si="4"/>
        <v>365</v>
      </c>
      <c r="AC12" s="46">
        <v>365</v>
      </c>
    </row>
    <row r="13" spans="1:29" x14ac:dyDescent="0.2">
      <c r="A13" s="215"/>
      <c r="B13" s="178">
        <f t="shared" si="0"/>
        <v>2023</v>
      </c>
      <c r="C13" s="55">
        <f>C12*(1-'MPS(input_Option1)'!$E$37)</f>
        <v>49971.415039700631</v>
      </c>
      <c r="D13" s="55">
        <f>D12*(1-'MPS(input_Option1)'!$E$38)</f>
        <v>14016.921514568221</v>
      </c>
      <c r="E13" s="55">
        <f>E12*(1-'MPS(input_Option1)'!$E$39)</f>
        <v>0</v>
      </c>
      <c r="F13" s="55">
        <f>F12*(1-'MPS(input_Option1)'!$E$40)</f>
        <v>7044.8491288931127</v>
      </c>
      <c r="G13" s="55">
        <f>G12*(1-'MPS(input_Option1)'!$E$41)</f>
        <v>933.46358813919983</v>
      </c>
      <c r="H13" s="55">
        <f>H12*(1-'MPS(input_Option1)'!$E$42)</f>
        <v>0</v>
      </c>
      <c r="I13" s="55">
        <f>I12*(1-'MPS(input_Option1)'!$E$43)</f>
        <v>0</v>
      </c>
      <c r="J13" s="55">
        <f>J12*(1-'MPS(input_Option1)'!$E$44)</f>
        <v>0</v>
      </c>
      <c r="K13" s="55">
        <f>K12*(1-'MPS(input_Option1)'!$E$45)</f>
        <v>1336.0456689217144</v>
      </c>
      <c r="L13" s="55">
        <f>L12*(1-'MPS(input_Option1)'!$E$46)</f>
        <v>0</v>
      </c>
      <c r="M13" s="55">
        <f>M12*(1-'MPS(input_Option1)'!$E$47)</f>
        <v>0</v>
      </c>
      <c r="N13" s="55">
        <f t="shared" si="3"/>
        <v>13435.213873978952</v>
      </c>
      <c r="O13" s="55">
        <f>IFERROR(C12*'MPS(input_Option1)'!$E$37*$AB13/$AC13*'MPS(input_Option1)'!$E$59,0)</f>
        <v>116504.47729341012</v>
      </c>
      <c r="P13" s="55">
        <f>IFERROR(D12*'MPS(input_Option1)'!$E$38*$AB13/$AC13*'MPS(input_Option1)'!$E$60,0)</f>
        <v>60385.132199204782</v>
      </c>
      <c r="Q13" s="55">
        <f>IFERROR(E12*'MPS(input_Option1)'!$E$39*$AB13/$AC13*'MPS(input_Option1)'!$E$61,0)</f>
        <v>0</v>
      </c>
      <c r="R13" s="55">
        <f>IFERROR(F12*'MPS(input_Option1)'!$E$40*$AB13/$AC13*'MPS(input_Option1)'!$E$62,0)</f>
        <v>12136.002164045392</v>
      </c>
      <c r="S13" s="55">
        <f>IFERROR(G12*'MPS(input_Option1)'!$E$41*$AB13/$AC13*'MPS(input_Option1)'!$E$63,0)</f>
        <v>0</v>
      </c>
      <c r="T13" s="55">
        <f>IFERROR(H12*'MPS(input_Option1)'!$E$42*$AB13/$AC13*'MPS(input_Option1)'!$E$64,0)</f>
        <v>0</v>
      </c>
      <c r="U13" s="55">
        <f>IFERROR(I12*'MPS(input_Option1)'!$E$43*$AB13/$AC13*'MPS(input_Option1)'!$E$65,0)</f>
        <v>0</v>
      </c>
      <c r="V13" s="55">
        <f>IFERROR(J12*'MPS(input_Option1)'!$E$44*$AB13/$AC13*'MPS(input_Option1)'!$E$66,0)</f>
        <v>0</v>
      </c>
      <c r="W13" s="55">
        <f>IFERROR(K12*'MPS(input_Option1)'!$E$45*$AB13/$AC13*'MPS(input_Option1)'!$E$67,0)</f>
        <v>6135.0068721405405</v>
      </c>
      <c r="X13" s="55">
        <f>IFERROR(L12*'MPS(input_Option1)'!$E$46*$AB13/$AC13*'MPS(input_Option1)'!$E$68,0)</f>
        <v>0</v>
      </c>
      <c r="Y13" s="55">
        <f>IFERROR(M12*'MPS(input_Option1)'!$E$47*$AB13/$AC13*'MPS(input_Option1)'!$E$69,0)</f>
        <v>0</v>
      </c>
      <c r="Z13" s="55">
        <f t="shared" si="1"/>
        <v>0</v>
      </c>
      <c r="AA13" s="56">
        <f t="shared" si="2"/>
        <v>715588.93460560299</v>
      </c>
      <c r="AB13" s="46">
        <f t="shared" si="4"/>
        <v>365</v>
      </c>
      <c r="AC13" s="46">
        <v>365</v>
      </c>
    </row>
    <row r="14" spans="1:29" x14ac:dyDescent="0.2">
      <c r="A14" s="215"/>
      <c r="B14" s="178">
        <f t="shared" si="0"/>
        <v>2024</v>
      </c>
      <c r="C14" s="55">
        <f>C13*(1-'MPS(input_Option1)'!$E$37)</f>
        <v>48727.126805212087</v>
      </c>
      <c r="D14" s="55">
        <f>D13*(1-'MPS(input_Option1)'!$E$38)</f>
        <v>13583.798639768062</v>
      </c>
      <c r="E14" s="55">
        <f>E13*(1-'MPS(input_Option1)'!$E$39)</f>
        <v>0</v>
      </c>
      <c r="F14" s="55">
        <f>F13*(1-'MPS(input_Option1)'!$E$40)</f>
        <v>6801.8018339463006</v>
      </c>
      <c r="G14" s="55">
        <f>G13*(1-'MPS(input_Option1)'!$E$41)</f>
        <v>920.30175154643712</v>
      </c>
      <c r="H14" s="55">
        <f>H13*(1-'MPS(input_Option1)'!$E$42)</f>
        <v>0</v>
      </c>
      <c r="I14" s="55">
        <f>I13*(1-'MPS(input_Option1)'!$E$43)</f>
        <v>0</v>
      </c>
      <c r="J14" s="55">
        <f>J13*(1-'MPS(input_Option1)'!$E$44)</f>
        <v>0</v>
      </c>
      <c r="K14" s="55">
        <f>K13*(1-'MPS(input_Option1)'!$E$45)</f>
        <v>1206.1820299025239</v>
      </c>
      <c r="L14" s="55">
        <f>L13*(1-'MPS(input_Option1)'!$E$46)</f>
        <v>0</v>
      </c>
      <c r="M14" s="55">
        <f>M13*(1-'MPS(input_Option1)'!$E$47)</f>
        <v>0</v>
      </c>
      <c r="N14" s="55">
        <f t="shared" si="3"/>
        <v>15498.697753826418</v>
      </c>
      <c r="O14" s="55">
        <f>IFERROR(C13*'MPS(input_Option1)'!$E$37*$AB14/$AC14*'MPS(input_Option1)'!$E$59,0)</f>
        <v>113603.51580880421</v>
      </c>
      <c r="P14" s="55">
        <f>IFERROR(D13*'MPS(input_Option1)'!$E$38*$AB14/$AC14*'MPS(input_Option1)'!$E$60,0)</f>
        <v>58519.231614249358</v>
      </c>
      <c r="Q14" s="55">
        <f>IFERROR(E13*'MPS(input_Option1)'!$E$39*$AB14/$AC14*'MPS(input_Option1)'!$E$61,0)</f>
        <v>0</v>
      </c>
      <c r="R14" s="55">
        <f>IFERROR(F13*'MPS(input_Option1)'!$E$40*$AB14/$AC14*'MPS(input_Option1)'!$E$62,0)</f>
        <v>11717.310089385826</v>
      </c>
      <c r="S14" s="55">
        <f>IFERROR(G13*'MPS(input_Option1)'!$E$41*$AB14/$AC14*'MPS(input_Option1)'!$E$63,0)</f>
        <v>0</v>
      </c>
      <c r="T14" s="55">
        <f>IFERROR(H13*'MPS(input_Option1)'!$E$42*$AB14/$AC14*'MPS(input_Option1)'!$E$64,0)</f>
        <v>0</v>
      </c>
      <c r="U14" s="55">
        <f>IFERROR(I13*'MPS(input_Option1)'!$E$43*$AB14/$AC14*'MPS(input_Option1)'!$E$65,0)</f>
        <v>0</v>
      </c>
      <c r="V14" s="55">
        <f>IFERROR(J13*'MPS(input_Option1)'!$E$44*$AB14/$AC14*'MPS(input_Option1)'!$E$66,0)</f>
        <v>0</v>
      </c>
      <c r="W14" s="55">
        <f>IFERROR(K13*'MPS(input_Option1)'!$E$45*$AB14/$AC14*'MPS(input_Option1)'!$E$67,0)</f>
        <v>5538.6842041684804</v>
      </c>
      <c r="X14" s="55">
        <f>IFERROR(L13*'MPS(input_Option1)'!$E$46*$AB14/$AC14*'MPS(input_Option1)'!$E$68,0)</f>
        <v>0</v>
      </c>
      <c r="Y14" s="55">
        <f>IFERROR(M13*'MPS(input_Option1)'!$E$47*$AB14/$AC14*'MPS(input_Option1)'!$E$69,0)</f>
        <v>0</v>
      </c>
      <c r="Z14" s="55">
        <f t="shared" si="1"/>
        <v>0</v>
      </c>
      <c r="AA14" s="56">
        <f t="shared" si="2"/>
        <v>694388.71962756221</v>
      </c>
      <c r="AB14" s="46">
        <f t="shared" si="4"/>
        <v>366</v>
      </c>
      <c r="AC14" s="46">
        <v>366</v>
      </c>
    </row>
    <row r="15" spans="1:29" x14ac:dyDescent="0.2">
      <c r="A15" s="215"/>
      <c r="B15" s="178">
        <f t="shared" si="0"/>
        <v>2025</v>
      </c>
      <c r="C15" s="55">
        <f>C14*(1-'MPS(input_Option1)'!$E$37)</f>
        <v>47513.821347762307</v>
      </c>
      <c r="D15" s="55">
        <f>D14*(1-'MPS(input_Option1)'!$E$38)</f>
        <v>13164.059261799228</v>
      </c>
      <c r="E15" s="55">
        <f>E14*(1-'MPS(input_Option1)'!$E$39)</f>
        <v>0</v>
      </c>
      <c r="F15" s="55">
        <f>F14*(1-'MPS(input_Option1)'!$E$40)</f>
        <v>6567.139670675153</v>
      </c>
      <c r="G15" s="55">
        <f>G14*(1-'MPS(input_Option1)'!$E$41)</f>
        <v>907.32549684963237</v>
      </c>
      <c r="H15" s="55">
        <f>H14*(1-'MPS(input_Option1)'!$E$42)</f>
        <v>0</v>
      </c>
      <c r="I15" s="55">
        <f>I14*(1-'MPS(input_Option1)'!$E$43)</f>
        <v>0</v>
      </c>
      <c r="J15" s="55">
        <f>J14*(1-'MPS(input_Option1)'!$E$44)</f>
        <v>0</v>
      </c>
      <c r="K15" s="55">
        <f>K14*(1-'MPS(input_Option1)'!$E$45)</f>
        <v>1088.9411365959986</v>
      </c>
      <c r="L15" s="55">
        <f>L14*(1-'MPS(input_Option1)'!$E$46)</f>
        <v>0</v>
      </c>
      <c r="M15" s="55">
        <f>M14*(1-'MPS(input_Option1)'!$E$47)</f>
        <v>0</v>
      </c>
      <c r="N15" s="55">
        <f t="shared" si="3"/>
        <v>17496.621900519516</v>
      </c>
      <c r="O15" s="55">
        <f>IFERROR(C14*'MPS(input_Option1)'!$E$37*$AB15/$AC15*'MPS(input_Option1)'!$E$59,0)</f>
        <v>110774.788265165</v>
      </c>
      <c r="P15" s="55">
        <f>IFERROR(D14*'MPS(input_Option1)'!$E$38*$AB15/$AC15*'MPS(input_Option1)'!$E$60,0)</f>
        <v>56710.987357369042</v>
      </c>
      <c r="Q15" s="55">
        <f>IFERROR(E14*'MPS(input_Option1)'!$E$39*$AB15/$AC15*'MPS(input_Option1)'!$E$61,0)</f>
        <v>0</v>
      </c>
      <c r="R15" s="55">
        <f>IFERROR(F14*'MPS(input_Option1)'!$E$40*$AB15/$AC15*'MPS(input_Option1)'!$E$62,0)</f>
        <v>11313.062891302015</v>
      </c>
      <c r="S15" s="55">
        <f>IFERROR(G14*'MPS(input_Option1)'!$E$41*$AB15/$AC15*'MPS(input_Option1)'!$E$63,0)</f>
        <v>0</v>
      </c>
      <c r="T15" s="55">
        <f>IFERROR(H14*'MPS(input_Option1)'!$E$42*$AB15/$AC15*'MPS(input_Option1)'!$E$64,0)</f>
        <v>0</v>
      </c>
      <c r="U15" s="55">
        <f>IFERROR(I14*'MPS(input_Option1)'!$E$43*$AB15/$AC15*'MPS(input_Option1)'!$E$65,0)</f>
        <v>0</v>
      </c>
      <c r="V15" s="55">
        <f>IFERROR(J14*'MPS(input_Option1)'!$E$44*$AB15/$AC15*'MPS(input_Option1)'!$E$66,0)</f>
        <v>0</v>
      </c>
      <c r="W15" s="55">
        <f>IFERROR(K14*'MPS(input_Option1)'!$E$45*$AB15/$AC15*'MPS(input_Option1)'!$E$67,0)</f>
        <v>5000.3240995233045</v>
      </c>
      <c r="X15" s="55">
        <f>IFERROR(L14*'MPS(input_Option1)'!$E$46*$AB15/$AC15*'MPS(input_Option1)'!$E$68,0)</f>
        <v>0</v>
      </c>
      <c r="Y15" s="55">
        <f>IFERROR(M14*'MPS(input_Option1)'!$E$47*$AB15/$AC15*'MPS(input_Option1)'!$E$69,0)</f>
        <v>0</v>
      </c>
      <c r="Z15" s="55">
        <f t="shared" si="1"/>
        <v>0</v>
      </c>
      <c r="AA15" s="56">
        <f t="shared" si="2"/>
        <v>673930.26291565096</v>
      </c>
      <c r="AB15" s="46">
        <f t="shared" si="4"/>
        <v>365</v>
      </c>
      <c r="AC15" s="46">
        <v>365</v>
      </c>
    </row>
    <row r="16" spans="1:29" x14ac:dyDescent="0.2">
      <c r="A16" s="215"/>
      <c r="B16" s="178">
        <f t="shared" si="0"/>
        <v>2026</v>
      </c>
      <c r="C16" s="55">
        <f>C15*(1-'MPS(input_Option1)'!$E$37)</f>
        <v>46330.727196203021</v>
      </c>
      <c r="D16" s="55">
        <f>D15*(1-'MPS(input_Option1)'!$E$38)</f>
        <v>12757.28983060963</v>
      </c>
      <c r="E16" s="55">
        <f>E15*(1-'MPS(input_Option1)'!$E$39)</f>
        <v>0</v>
      </c>
      <c r="F16" s="55">
        <f>F15*(1-'MPS(input_Option1)'!$E$40)</f>
        <v>6340.5733520368603</v>
      </c>
      <c r="G16" s="55">
        <f>G15*(1-'MPS(input_Option1)'!$E$41)</f>
        <v>894.53220734405261</v>
      </c>
      <c r="H16" s="55">
        <f>H15*(1-'MPS(input_Option1)'!$E$42)</f>
        <v>0</v>
      </c>
      <c r="I16" s="55">
        <f>I15*(1-'MPS(input_Option1)'!$E$43)</f>
        <v>0</v>
      </c>
      <c r="J16" s="55">
        <f>J15*(1-'MPS(input_Option1)'!$E$44)</f>
        <v>0</v>
      </c>
      <c r="K16" s="55">
        <f>K15*(1-'MPS(input_Option1)'!$E$45)</f>
        <v>983.09605811886763</v>
      </c>
      <c r="L16" s="55">
        <f>L15*(1-'MPS(input_Option1)'!$E$46)</f>
        <v>0</v>
      </c>
      <c r="M16" s="55">
        <f>M15*(1-'MPS(input_Option1)'!$E$47)</f>
        <v>0</v>
      </c>
      <c r="N16" s="55">
        <f t="shared" si="3"/>
        <v>19431.690169889393</v>
      </c>
      <c r="O16" s="55">
        <f>IFERROR(C15*'MPS(input_Option1)'!$E$37*$AB16/$AC16*'MPS(input_Option1)'!$E$59,0)</f>
        <v>108016.49603736238</v>
      </c>
      <c r="P16" s="55">
        <f>IFERROR(D15*'MPS(input_Option1)'!$E$38*$AB16/$AC16*'MPS(input_Option1)'!$E$60,0)</f>
        <v>54958.617848026348</v>
      </c>
      <c r="Q16" s="55">
        <f>IFERROR(E15*'MPS(input_Option1)'!$E$39*$AB16/$AC16*'MPS(input_Option1)'!$E$61,0)</f>
        <v>0</v>
      </c>
      <c r="R16" s="55">
        <f>IFERROR(F15*'MPS(input_Option1)'!$E$40*$AB16/$AC16*'MPS(input_Option1)'!$E$62,0)</f>
        <v>10922.762221552095</v>
      </c>
      <c r="S16" s="55">
        <f>IFERROR(G15*'MPS(input_Option1)'!$E$41*$AB16/$AC16*'MPS(input_Option1)'!$E$63,0)</f>
        <v>0</v>
      </c>
      <c r="T16" s="55">
        <f>IFERROR(H15*'MPS(input_Option1)'!$E$42*$AB16/$AC16*'MPS(input_Option1)'!$E$64,0)</f>
        <v>0</v>
      </c>
      <c r="U16" s="55">
        <f>IFERROR(I15*'MPS(input_Option1)'!$E$43*$AB16/$AC16*'MPS(input_Option1)'!$E$65,0)</f>
        <v>0</v>
      </c>
      <c r="V16" s="55">
        <f>IFERROR(J15*'MPS(input_Option1)'!$E$44*$AB16/$AC16*'MPS(input_Option1)'!$E$66,0)</f>
        <v>0</v>
      </c>
      <c r="W16" s="55">
        <f>IFERROR(K15*'MPS(input_Option1)'!$E$45*$AB16/$AC16*'MPS(input_Option1)'!$E$67,0)</f>
        <v>4514.292597049639</v>
      </c>
      <c r="X16" s="55">
        <f>IFERROR(L15*'MPS(input_Option1)'!$E$46*$AB16/$AC16*'MPS(input_Option1)'!$E$68,0)</f>
        <v>0</v>
      </c>
      <c r="Y16" s="55">
        <f>IFERROR(M15*'MPS(input_Option1)'!$E$47*$AB16/$AC16*'MPS(input_Option1)'!$E$69,0)</f>
        <v>0</v>
      </c>
      <c r="Z16" s="55">
        <f t="shared" si="1"/>
        <v>0</v>
      </c>
      <c r="AA16" s="56">
        <f t="shared" si="2"/>
        <v>654177.95191463153</v>
      </c>
      <c r="AB16" s="46">
        <f t="shared" si="4"/>
        <v>365</v>
      </c>
      <c r="AC16" s="46">
        <v>365</v>
      </c>
    </row>
    <row r="17" spans="1:29" x14ac:dyDescent="0.2">
      <c r="A17" s="215"/>
      <c r="B17" s="178">
        <f t="shared" si="0"/>
        <v>2027</v>
      </c>
      <c r="C17" s="55">
        <f>C16*(1-'MPS(input_Option1)'!$E$37)</f>
        <v>45177.092089017562</v>
      </c>
      <c r="D17" s="55">
        <f>D16*(1-'MPS(input_Option1)'!$E$38)</f>
        <v>12363.089574843792</v>
      </c>
      <c r="E17" s="55">
        <f>E16*(1-'MPS(input_Option1)'!$E$39)</f>
        <v>0</v>
      </c>
      <c r="F17" s="55">
        <f>F16*(1-'MPS(input_Option1)'!$E$40)</f>
        <v>6121.8235713915892</v>
      </c>
      <c r="G17" s="55">
        <f>G16*(1-'MPS(input_Option1)'!$E$41)</f>
        <v>881.91930322050143</v>
      </c>
      <c r="H17" s="55">
        <f>H16*(1-'MPS(input_Option1)'!$E$42)</f>
        <v>0</v>
      </c>
      <c r="I17" s="55">
        <f>I16*(1-'MPS(input_Option1)'!$E$43)</f>
        <v>0</v>
      </c>
      <c r="J17" s="55">
        <f>J16*(1-'MPS(input_Option1)'!$E$44)</f>
        <v>0</v>
      </c>
      <c r="K17" s="55">
        <f>K16*(1-'MPS(input_Option1)'!$E$45)</f>
        <v>887.53912126971375</v>
      </c>
      <c r="L17" s="55">
        <f>L16*(1-'MPS(input_Option1)'!$E$46)</f>
        <v>0</v>
      </c>
      <c r="M17" s="55">
        <f>M16*(1-'MPS(input_Option1)'!$E$47)</f>
        <v>0</v>
      </c>
      <c r="N17" s="55">
        <f t="shared" si="3"/>
        <v>21306.44515445867</v>
      </c>
      <c r="O17" s="55">
        <f>IFERROR(C16*'MPS(input_Option1)'!$E$37*$AB17/$AC17*'MPS(input_Option1)'!$E$59,0)</f>
        <v>105326.88528603205</v>
      </c>
      <c r="P17" s="55">
        <f>IFERROR(D16*'MPS(input_Option1)'!$E$38*$AB17/$AC17*'MPS(input_Option1)'!$E$60,0)</f>
        <v>53260.396556522326</v>
      </c>
      <c r="Q17" s="55">
        <f>IFERROR(E16*'MPS(input_Option1)'!$E$39*$AB17/$AC17*'MPS(input_Option1)'!$E$61,0)</f>
        <v>0</v>
      </c>
      <c r="R17" s="55">
        <f>IFERROR(F16*'MPS(input_Option1)'!$E$40*$AB17/$AC17*'MPS(input_Option1)'!$E$62,0)</f>
        <v>10545.926924908548</v>
      </c>
      <c r="S17" s="55">
        <f>IFERROR(G16*'MPS(input_Option1)'!$E$41*$AB17/$AC17*'MPS(input_Option1)'!$E$63,0)</f>
        <v>0</v>
      </c>
      <c r="T17" s="55">
        <f>IFERROR(H16*'MPS(input_Option1)'!$E$42*$AB17/$AC17*'MPS(input_Option1)'!$E$64,0)</f>
        <v>0</v>
      </c>
      <c r="U17" s="55">
        <f>IFERROR(I16*'MPS(input_Option1)'!$E$43*$AB17/$AC17*'MPS(input_Option1)'!$E$65,0)</f>
        <v>0</v>
      </c>
      <c r="V17" s="55">
        <f>IFERROR(J16*'MPS(input_Option1)'!$E$44*$AB17/$AC17*'MPS(input_Option1)'!$E$66,0)</f>
        <v>0</v>
      </c>
      <c r="W17" s="55">
        <f>IFERROR(K16*'MPS(input_Option1)'!$E$45*$AB17/$AC17*'MPS(input_Option1)'!$E$67,0)</f>
        <v>4075.5033566164147</v>
      </c>
      <c r="X17" s="55">
        <f>IFERROR(L16*'MPS(input_Option1)'!$E$46*$AB17/$AC17*'MPS(input_Option1)'!$E$68,0)</f>
        <v>0</v>
      </c>
      <c r="Y17" s="55">
        <f>IFERROR(M16*'MPS(input_Option1)'!$E$47*$AB17/$AC17*'MPS(input_Option1)'!$E$69,0)</f>
        <v>0</v>
      </c>
      <c r="Z17" s="55">
        <f t="shared" si="1"/>
        <v>0</v>
      </c>
      <c r="AA17" s="56">
        <f t="shared" si="2"/>
        <v>635098.61112162424</v>
      </c>
      <c r="AB17" s="46">
        <f t="shared" si="4"/>
        <v>365</v>
      </c>
      <c r="AC17" s="46">
        <v>365</v>
      </c>
    </row>
    <row r="18" spans="1:29" x14ac:dyDescent="0.2">
      <c r="A18" s="215"/>
      <c r="B18" s="178">
        <f t="shared" si="0"/>
        <v>2028</v>
      </c>
      <c r="C18" s="55">
        <f>C17*(1-'MPS(input_Option1)'!$E$37)</f>
        <v>44052.18249600102</v>
      </c>
      <c r="D18" s="55">
        <f>D17*(1-'MPS(input_Option1)'!$E$38)</f>
        <v>11981.070106981118</v>
      </c>
      <c r="E18" s="55">
        <f>E17*(1-'MPS(input_Option1)'!$E$39)</f>
        <v>0</v>
      </c>
      <c r="F18" s="55">
        <f>F17*(1-'MPS(input_Option1)'!$E$40)</f>
        <v>5910.6206581785791</v>
      </c>
      <c r="G18" s="55">
        <f>G17*(1-'MPS(input_Option1)'!$E$41)</f>
        <v>869.4842410450924</v>
      </c>
      <c r="H18" s="55">
        <f>H17*(1-'MPS(input_Option1)'!$E$42)</f>
        <v>0</v>
      </c>
      <c r="I18" s="55">
        <f>I17*(1-'MPS(input_Option1)'!$E$43)</f>
        <v>0</v>
      </c>
      <c r="J18" s="55">
        <f>J17*(1-'MPS(input_Option1)'!$E$44)</f>
        <v>0</v>
      </c>
      <c r="K18" s="55">
        <f>K17*(1-'MPS(input_Option1)'!$E$45)</f>
        <v>801.27031868229756</v>
      </c>
      <c r="L18" s="55">
        <f>L17*(1-'MPS(input_Option1)'!$E$46)</f>
        <v>0</v>
      </c>
      <c r="M18" s="55">
        <f>M17*(1-'MPS(input_Option1)'!$E$47)</f>
        <v>0</v>
      </c>
      <c r="N18" s="55">
        <f t="shared" si="3"/>
        <v>23123.280993313718</v>
      </c>
      <c r="O18" s="55">
        <f>IFERROR(C17*'MPS(input_Option1)'!$E$37*$AB18/$AC18*'MPS(input_Option1)'!$E$59,0)</f>
        <v>102704.24584240984</v>
      </c>
      <c r="P18" s="55">
        <f>IFERROR(D17*'MPS(input_Option1)'!$E$38*$AB18/$AC18*'MPS(input_Option1)'!$E$60,0)</f>
        <v>51614.65030292578</v>
      </c>
      <c r="Q18" s="55">
        <f>IFERROR(E17*'MPS(input_Option1)'!$E$39*$AB18/$AC18*'MPS(input_Option1)'!$E$61,0)</f>
        <v>0</v>
      </c>
      <c r="R18" s="55">
        <f>IFERROR(F17*'MPS(input_Option1)'!$E$40*$AB18/$AC18*'MPS(input_Option1)'!$E$62,0)</f>
        <v>10182.092445999206</v>
      </c>
      <c r="S18" s="55">
        <f>IFERROR(G17*'MPS(input_Option1)'!$E$41*$AB18/$AC18*'MPS(input_Option1)'!$E$63,0)</f>
        <v>0</v>
      </c>
      <c r="T18" s="55">
        <f>IFERROR(H17*'MPS(input_Option1)'!$E$42*$AB18/$AC18*'MPS(input_Option1)'!$E$64,0)</f>
        <v>0</v>
      </c>
      <c r="U18" s="55">
        <f>IFERROR(I17*'MPS(input_Option1)'!$E$43*$AB18/$AC18*'MPS(input_Option1)'!$E$65,0)</f>
        <v>0</v>
      </c>
      <c r="V18" s="55">
        <f>IFERROR(J17*'MPS(input_Option1)'!$E$44*$AB18/$AC18*'MPS(input_Option1)'!$E$66,0)</f>
        <v>0</v>
      </c>
      <c r="W18" s="55">
        <f>IFERROR(K17*'MPS(input_Option1)'!$E$45*$AB18/$AC18*'MPS(input_Option1)'!$E$67,0)</f>
        <v>3679.3644303532997</v>
      </c>
      <c r="X18" s="55">
        <f>IFERROR(L17*'MPS(input_Option1)'!$E$46*$AB18/$AC18*'MPS(input_Option1)'!$E$68,0)</f>
        <v>0</v>
      </c>
      <c r="Y18" s="55">
        <f>IFERROR(M17*'MPS(input_Option1)'!$E$47*$AB18/$AC18*'MPS(input_Option1)'!$E$69,0)</f>
        <v>0</v>
      </c>
      <c r="Z18" s="55">
        <f t="shared" si="1"/>
        <v>0</v>
      </c>
      <c r="AA18" s="56">
        <f t="shared" si="2"/>
        <v>616661.29441285657</v>
      </c>
      <c r="AB18" s="46">
        <f t="shared" si="4"/>
        <v>366</v>
      </c>
      <c r="AC18" s="46">
        <v>366</v>
      </c>
    </row>
    <row r="19" spans="1:29" x14ac:dyDescent="0.2">
      <c r="A19" s="216"/>
      <c r="B19" s="178">
        <f t="shared" si="0"/>
        <v>2029</v>
      </c>
      <c r="C19" s="55">
        <f>C18*(1-'MPS(input_Option1)'!$E$37)</f>
        <v>42955.283151850592</v>
      </c>
      <c r="D19" s="55">
        <f>D18*(1-'MPS(input_Option1)'!$E$38)</f>
        <v>11610.855040675402</v>
      </c>
      <c r="E19" s="55">
        <f>E18*(1-'MPS(input_Option1)'!$E$39)</f>
        <v>0</v>
      </c>
      <c r="F19" s="55">
        <f>F18*(1-'MPS(input_Option1)'!$E$40)</f>
        <v>5706.7042454714183</v>
      </c>
      <c r="G19" s="55">
        <f>G18*(1-'MPS(input_Option1)'!$E$41)</f>
        <v>857.22451324635665</v>
      </c>
      <c r="H19" s="55">
        <f>H18*(1-'MPS(input_Option1)'!$E$42)</f>
        <v>0</v>
      </c>
      <c r="I19" s="55">
        <f>I18*(1-'MPS(input_Option1)'!$E$43)</f>
        <v>0</v>
      </c>
      <c r="J19" s="55">
        <f>J18*(1-'MPS(input_Option1)'!$E$44)</f>
        <v>0</v>
      </c>
      <c r="K19" s="55">
        <f>K18*(1-'MPS(input_Option1)'!$E$45)</f>
        <v>723.38684370637827</v>
      </c>
      <c r="L19" s="55">
        <f>L18*(1-'MPS(input_Option1)'!$E$46)</f>
        <v>0</v>
      </c>
      <c r="M19" s="55">
        <f>M18*(1-'MPS(input_Option1)'!$E$47)</f>
        <v>0</v>
      </c>
      <c r="N19" s="55">
        <f t="shared" si="3"/>
        <v>24884.455019251684</v>
      </c>
      <c r="O19" s="55">
        <f>IFERROR(C18*'MPS(input_Option1)'!$E$37*$AB19/$AC19*'MPS(input_Option1)'!$E$59,0)</f>
        <v>100146.91012093383</v>
      </c>
      <c r="P19" s="55">
        <f>IFERROR(D18*'MPS(input_Option1)'!$E$38*$AB19/$AC19*'MPS(input_Option1)'!$E$60,0)</f>
        <v>50019.757608565378</v>
      </c>
      <c r="Q19" s="55">
        <f>IFERROR(E18*'MPS(input_Option1)'!$E$39*$AB19/$AC19*'MPS(input_Option1)'!$E$61,0)</f>
        <v>0</v>
      </c>
      <c r="R19" s="55">
        <f>IFERROR(F18*'MPS(input_Option1)'!$E$40*$AB19/$AC19*'MPS(input_Option1)'!$E$62,0)</f>
        <v>9830.8102566122307</v>
      </c>
      <c r="S19" s="55">
        <f>IFERROR(G18*'MPS(input_Option1)'!$E$41*$AB19/$AC19*'MPS(input_Option1)'!$E$63,0)</f>
        <v>0</v>
      </c>
      <c r="T19" s="55">
        <f>IFERROR(H18*'MPS(input_Option1)'!$E$42*$AB19/$AC19*'MPS(input_Option1)'!$E$64,0)</f>
        <v>0</v>
      </c>
      <c r="U19" s="55">
        <f>IFERROR(I18*'MPS(input_Option1)'!$E$43*$AB19/$AC19*'MPS(input_Option1)'!$E$65,0)</f>
        <v>0</v>
      </c>
      <c r="V19" s="55">
        <f>IFERROR(J18*'MPS(input_Option1)'!$E$44*$AB19/$AC19*'MPS(input_Option1)'!$E$66,0)</f>
        <v>0</v>
      </c>
      <c r="W19" s="55">
        <f>IFERROR(K18*'MPS(input_Option1)'!$E$45*$AB19/$AC19*'MPS(input_Option1)'!$E$67,0)</f>
        <v>3321.7302077229588</v>
      </c>
      <c r="X19" s="55">
        <f>IFERROR(L18*'MPS(input_Option1)'!$E$46*$AB19/$AC19*'MPS(input_Option1)'!$E$68,0)</f>
        <v>0</v>
      </c>
      <c r="Y19" s="55">
        <f>IFERROR(M18*'MPS(input_Option1)'!$E$47*$AB19/$AC19*'MPS(input_Option1)'!$E$69,0)</f>
        <v>0</v>
      </c>
      <c r="Z19" s="55">
        <f t="shared" si="1"/>
        <v>0</v>
      </c>
      <c r="AA19" s="56">
        <f t="shared" si="2"/>
        <v>598837.09671072604</v>
      </c>
      <c r="AB19" s="46">
        <f t="shared" si="4"/>
        <v>365</v>
      </c>
      <c r="AC19" s="46">
        <v>365</v>
      </c>
    </row>
    <row r="20" spans="1:29" x14ac:dyDescent="0.2">
      <c r="A20" s="175"/>
      <c r="B20" s="58" t="s">
        <v>259</v>
      </c>
      <c r="C20" s="59" t="s">
        <v>26</v>
      </c>
      <c r="D20" s="59" t="s">
        <v>26</v>
      </c>
      <c r="E20" s="59" t="s">
        <v>26</v>
      </c>
      <c r="F20" s="59" t="s">
        <v>26</v>
      </c>
      <c r="G20" s="59" t="s">
        <v>26</v>
      </c>
      <c r="H20" s="59" t="s">
        <v>26</v>
      </c>
      <c r="I20" s="59" t="s">
        <v>26</v>
      </c>
      <c r="J20" s="59" t="s">
        <v>26</v>
      </c>
      <c r="K20" s="59" t="s">
        <v>26</v>
      </c>
      <c r="L20" s="59" t="s">
        <v>26</v>
      </c>
      <c r="M20" s="59" t="s">
        <v>26</v>
      </c>
      <c r="N20" s="59" t="s">
        <v>26</v>
      </c>
      <c r="O20" s="59" t="s">
        <v>26</v>
      </c>
      <c r="P20" s="59" t="s">
        <v>26</v>
      </c>
      <c r="Q20" s="59" t="s">
        <v>26</v>
      </c>
      <c r="R20" s="59" t="s">
        <v>26</v>
      </c>
      <c r="S20" s="59" t="s">
        <v>26</v>
      </c>
      <c r="T20" s="59" t="s">
        <v>26</v>
      </c>
      <c r="U20" s="59" t="s">
        <v>26</v>
      </c>
      <c r="V20" s="59" t="s">
        <v>26</v>
      </c>
      <c r="W20" s="59" t="s">
        <v>26</v>
      </c>
      <c r="X20" s="59" t="s">
        <v>26</v>
      </c>
      <c r="Y20" s="59" t="s">
        <v>26</v>
      </c>
      <c r="Z20" s="59" t="s">
        <v>26</v>
      </c>
      <c r="AA20" s="56">
        <f>SUM(AA7:AA19)</f>
        <v>8349380.4441099493</v>
      </c>
      <c r="AB20" s="76" t="s">
        <v>26</v>
      </c>
      <c r="AC20" s="76" t="s">
        <v>26</v>
      </c>
    </row>
    <row r="28" spans="1:29" x14ac:dyDescent="0.2">
      <c r="A28" s="2"/>
      <c r="B28" s="2"/>
    </row>
    <row r="29" spans="1:29" x14ac:dyDescent="0.2">
      <c r="A29" s="2"/>
      <c r="B29" s="2"/>
    </row>
    <row r="30" spans="1:29" x14ac:dyDescent="0.2">
      <c r="A30" s="2"/>
      <c r="B30" s="2"/>
    </row>
    <row r="31" spans="1:29" x14ac:dyDescent="0.2">
      <c r="A31" s="2"/>
      <c r="B31" s="2"/>
    </row>
    <row r="32" spans="1:29"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row r="40" spans="1:2" x14ac:dyDescent="0.2">
      <c r="A40" s="2"/>
      <c r="B40" s="2"/>
    </row>
    <row r="41" spans="1:2" x14ac:dyDescent="0.2">
      <c r="A41" s="2"/>
      <c r="B41" s="2"/>
    </row>
    <row r="42" spans="1:2" x14ac:dyDescent="0.2">
      <c r="A42" s="2"/>
      <c r="B42" s="2"/>
    </row>
  </sheetData>
  <sheetProtection formatCells="0" formatRows="0"/>
  <mergeCells count="11">
    <mergeCell ref="A3:B3"/>
    <mergeCell ref="A4:B4"/>
    <mergeCell ref="A5:B5"/>
    <mergeCell ref="A6:B6"/>
    <mergeCell ref="A8:A19"/>
    <mergeCell ref="C3:N3"/>
    <mergeCell ref="O3:Z3"/>
    <mergeCell ref="C4:N4"/>
    <mergeCell ref="C5:N5"/>
    <mergeCell ref="O4:Z4"/>
    <mergeCell ref="O5:Z5"/>
  </mergeCells>
  <phoneticPr fontId="9"/>
  <pageMargins left="0.7" right="0.7" top="0.75" bottom="0.75" header="0.3" footer="0.3"/>
  <pageSetup scale="28" orientation="portrait" r:id="rId1"/>
  <ignoredErrors>
    <ignoredError sqref="N8:N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AA9F-77EF-4AF3-9F1A-6CFB043A1F9E}">
  <sheetPr>
    <tabColor theme="3" tint="0.39997558519241921"/>
  </sheetPr>
  <dimension ref="A1:BB141"/>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9.453125" style="1" customWidth="1"/>
    <col min="3" max="3" width="13.453125" style="47" customWidth="1"/>
    <col min="4" max="4" width="11.90625" style="47" customWidth="1"/>
    <col min="5" max="14" width="11.08984375" style="47" customWidth="1"/>
    <col min="15" max="49" width="11.08984375" style="1" customWidth="1"/>
    <col min="50" max="52" width="20" style="1" customWidth="1"/>
    <col min="53" max="53" width="11.08984375" style="1" customWidth="1"/>
    <col min="54" max="54" width="8.453125" style="1" customWidth="1"/>
    <col min="55" max="112" width="6.6328125" style="1" customWidth="1"/>
    <col min="113" max="16384" width="8.90625" style="1"/>
  </cols>
  <sheetData>
    <row r="1" spans="1:52" x14ac:dyDescent="0.2">
      <c r="AZ1" s="48" t="str">
        <f>'MPS(input_Option1)'!K1</f>
        <v>Monitoring Spreadsheet: JCM_KH_AM004_ver01.1</v>
      </c>
    </row>
    <row r="2" spans="1:52" x14ac:dyDescent="0.2">
      <c r="AZ2" s="48" t="str">
        <f>'MPS(input_Option1)'!K2</f>
        <v>Reference Number: KH005</v>
      </c>
    </row>
    <row r="3" spans="1:52" x14ac:dyDescent="0.2">
      <c r="A3" s="74" t="s">
        <v>260</v>
      </c>
    </row>
    <row r="4" spans="1:52" x14ac:dyDescent="0.2">
      <c r="A4" s="213" t="s">
        <v>230</v>
      </c>
      <c r="B4" s="213"/>
      <c r="C4" s="211" t="s">
        <v>24</v>
      </c>
      <c r="D4" s="211"/>
      <c r="E4" s="211"/>
      <c r="F4" s="211"/>
      <c r="G4" s="211"/>
      <c r="H4" s="211"/>
      <c r="I4" s="211"/>
      <c r="J4" s="211"/>
      <c r="K4" s="211"/>
      <c r="L4" s="211"/>
      <c r="M4" s="211"/>
      <c r="N4" s="211"/>
      <c r="O4" s="212" t="s">
        <v>261</v>
      </c>
      <c r="P4" s="212"/>
      <c r="Q4" s="212"/>
      <c r="R4" s="212"/>
      <c r="S4" s="212"/>
      <c r="T4" s="212"/>
      <c r="U4" s="212"/>
      <c r="V4" s="212"/>
      <c r="W4" s="212"/>
      <c r="X4" s="212"/>
      <c r="Y4" s="212"/>
      <c r="Z4" s="212"/>
      <c r="AA4" s="212" t="s">
        <v>262</v>
      </c>
      <c r="AB4" s="212"/>
    </row>
    <row r="5" spans="1:52" ht="84.65" customHeight="1" x14ac:dyDescent="0.2">
      <c r="A5" s="213" t="s">
        <v>235</v>
      </c>
      <c r="B5" s="213"/>
      <c r="C5" s="211" t="s">
        <v>263</v>
      </c>
      <c r="D5" s="211"/>
      <c r="E5" s="211"/>
      <c r="F5" s="211"/>
      <c r="G5" s="211"/>
      <c r="H5" s="211"/>
      <c r="I5" s="211"/>
      <c r="J5" s="211"/>
      <c r="K5" s="211"/>
      <c r="L5" s="211"/>
      <c r="M5" s="211"/>
      <c r="N5" s="211"/>
      <c r="O5" s="212" t="s">
        <v>264</v>
      </c>
      <c r="P5" s="212"/>
      <c r="Q5" s="212"/>
      <c r="R5" s="212"/>
      <c r="S5" s="212"/>
      <c r="T5" s="212"/>
      <c r="U5" s="212"/>
      <c r="V5" s="212"/>
      <c r="W5" s="212"/>
      <c r="X5" s="212"/>
      <c r="Y5" s="212"/>
      <c r="Z5" s="212"/>
      <c r="AA5" s="212" t="s">
        <v>265</v>
      </c>
      <c r="AB5" s="212"/>
    </row>
    <row r="6" spans="1:52" x14ac:dyDescent="0.2">
      <c r="A6" s="213" t="s">
        <v>241</v>
      </c>
      <c r="B6" s="213"/>
      <c r="C6" s="211" t="s">
        <v>27</v>
      </c>
      <c r="D6" s="211"/>
      <c r="E6" s="211"/>
      <c r="F6" s="211"/>
      <c r="G6" s="211"/>
      <c r="H6" s="211"/>
      <c r="I6" s="211"/>
      <c r="J6" s="211"/>
      <c r="K6" s="211"/>
      <c r="L6" s="211"/>
      <c r="M6" s="211"/>
      <c r="N6" s="211"/>
      <c r="O6" s="212" t="s">
        <v>242</v>
      </c>
      <c r="P6" s="212"/>
      <c r="Q6" s="212"/>
      <c r="R6" s="212"/>
      <c r="S6" s="212"/>
      <c r="T6" s="212"/>
      <c r="U6" s="212"/>
      <c r="V6" s="212"/>
      <c r="W6" s="212"/>
      <c r="X6" s="212"/>
      <c r="Y6" s="212"/>
      <c r="Z6" s="212"/>
      <c r="AA6" s="212" t="s">
        <v>266</v>
      </c>
      <c r="AB6" s="212"/>
    </row>
    <row r="7" spans="1:52" ht="42" x14ac:dyDescent="0.2">
      <c r="A7" s="213" t="s">
        <v>245</v>
      </c>
      <c r="B7" s="213"/>
      <c r="C7" s="50" t="s">
        <v>246</v>
      </c>
      <c r="D7" s="50" t="s">
        <v>247</v>
      </c>
      <c r="E7" s="50" t="s">
        <v>248</v>
      </c>
      <c r="F7" s="50" t="s">
        <v>249</v>
      </c>
      <c r="G7" s="50" t="s">
        <v>250</v>
      </c>
      <c r="H7" s="50" t="s">
        <v>251</v>
      </c>
      <c r="I7" s="50" t="s">
        <v>252</v>
      </c>
      <c r="J7" s="50" t="s">
        <v>253</v>
      </c>
      <c r="K7" s="50" t="s">
        <v>254</v>
      </c>
      <c r="L7" s="50" t="s">
        <v>255</v>
      </c>
      <c r="M7" s="50" t="s">
        <v>256</v>
      </c>
      <c r="N7" s="50" t="s">
        <v>257</v>
      </c>
      <c r="O7" s="75" t="str">
        <f>C7</f>
        <v>Evergreen forest</v>
      </c>
      <c r="P7" s="75" t="str">
        <f t="shared" ref="P7:Z7" si="0">D7</f>
        <v>Semi-evergreen forest</v>
      </c>
      <c r="Q7" s="75" t="str">
        <f t="shared" si="0"/>
        <v>Pine forest</v>
      </c>
      <c r="R7" s="75" t="str">
        <f t="shared" si="0"/>
        <v>Deciduous forest</v>
      </c>
      <c r="S7" s="75" t="str">
        <f t="shared" si="0"/>
        <v>Bamboo</v>
      </c>
      <c r="T7" s="75" t="str">
        <f t="shared" si="0"/>
        <v>Mangrove</v>
      </c>
      <c r="U7" s="75" t="str">
        <f t="shared" si="0"/>
        <v>Rear Mangrove</v>
      </c>
      <c r="V7" s="75" t="str">
        <f t="shared" si="0"/>
        <v xml:space="preserve">Flooded forest </v>
      </c>
      <c r="W7" s="75" t="str">
        <f t="shared" si="0"/>
        <v xml:space="preserve">Forest regrowth </v>
      </c>
      <c r="X7" s="75" t="str">
        <f t="shared" si="0"/>
        <v>Tree plantation</v>
      </c>
      <c r="Y7" s="75" t="str">
        <f t="shared" si="0"/>
        <v>Pine plantation</v>
      </c>
      <c r="Z7" s="75" t="str">
        <f t="shared" si="0"/>
        <v>non forest</v>
      </c>
      <c r="AA7" s="212" t="s">
        <v>267</v>
      </c>
      <c r="AB7" s="212"/>
    </row>
    <row r="8" spans="1:52" x14ac:dyDescent="0.2">
      <c r="A8" s="218" t="s">
        <v>221</v>
      </c>
      <c r="B8" s="53">
        <f>'MPS(input_RL_Opt1)'!$B$8</f>
        <v>2018</v>
      </c>
      <c r="C8" s="60">
        <v>42.93</v>
      </c>
      <c r="D8" s="60">
        <v>185.26750216400001</v>
      </c>
      <c r="E8" s="60"/>
      <c r="F8" s="60">
        <v>2.9014073601899999</v>
      </c>
      <c r="G8" s="60">
        <v>2.04956196369</v>
      </c>
      <c r="H8" s="60"/>
      <c r="I8" s="60"/>
      <c r="J8" s="60"/>
      <c r="K8" s="60">
        <v>3.5622435716899998</v>
      </c>
      <c r="L8" s="60"/>
      <c r="M8" s="60"/>
      <c r="N8" s="60"/>
      <c r="O8" s="50">
        <f>C8*'MPS(input_Option1)'!$E$59</f>
        <v>3919.509</v>
      </c>
      <c r="P8" s="50">
        <f>D8*'MPS(input_Option1)'!$E$60</f>
        <v>25031.492217378043</v>
      </c>
      <c r="Q8" s="50">
        <f>E8*'MPS(input_Option1)'!$E$61</f>
        <v>0</v>
      </c>
      <c r="R8" s="50">
        <f>F8*'MPS(input_Option1)'!$E$62</f>
        <v>139.8768488347599</v>
      </c>
      <c r="S8" s="50">
        <f>G8*'MPS(input_Option1)'!$E$63</f>
        <v>0</v>
      </c>
      <c r="T8" s="50">
        <f>H8*'MPS(input_Option1)'!$E$64</f>
        <v>0</v>
      </c>
      <c r="U8" s="50">
        <f>I8*'MPS(input_Option1)'!$E$65</f>
        <v>0</v>
      </c>
      <c r="V8" s="50">
        <f>J8*'MPS(input_Option1)'!$E$66</f>
        <v>0</v>
      </c>
      <c r="W8" s="50">
        <f>K8*'MPS(input_Option1)'!$E$67</f>
        <v>151.92968833257848</v>
      </c>
      <c r="X8" s="50">
        <f>L8*'MPS(input_Option1)'!$E$68</f>
        <v>0</v>
      </c>
      <c r="Y8" s="50">
        <f>M8*'MPS(input_Option1)'!$E$69</f>
        <v>0</v>
      </c>
      <c r="Z8" s="50">
        <f>N8*0</f>
        <v>0</v>
      </c>
      <c r="AA8" s="229">
        <f>SUM(O8:Z8)</f>
        <v>29242.807754545378</v>
      </c>
      <c r="AB8" s="229"/>
    </row>
    <row r="9" spans="1:52" x14ac:dyDescent="0.2">
      <c r="A9" s="219"/>
      <c r="B9" s="53">
        <f>B8+1</f>
        <v>2019</v>
      </c>
      <c r="C9" s="60">
        <v>148.73156532100001</v>
      </c>
      <c r="D9" s="60">
        <v>380.27061852600002</v>
      </c>
      <c r="E9" s="60"/>
      <c r="F9" s="60">
        <v>19.670282537599999</v>
      </c>
      <c r="G9" s="60">
        <v>1.22752873094</v>
      </c>
      <c r="H9" s="60"/>
      <c r="I9" s="60"/>
      <c r="J9" s="60"/>
      <c r="K9" s="60">
        <v>28.315551096499998</v>
      </c>
      <c r="L9" s="60"/>
      <c r="M9" s="60"/>
      <c r="N9" s="60"/>
      <c r="O9" s="50">
        <f>C9*'MPS(input_Option1)'!$E$59</f>
        <v>13579.191913807301</v>
      </c>
      <c r="P9" s="50">
        <f>D9*'MPS(input_Option1)'!$E$60</f>
        <v>51378.36326904787</v>
      </c>
      <c r="Q9" s="50">
        <f>E9*'MPS(input_Option1)'!$E$61</f>
        <v>0</v>
      </c>
      <c r="R9" s="50">
        <f>F9*'MPS(input_Option1)'!$E$62</f>
        <v>948.30432113769598</v>
      </c>
      <c r="S9" s="50">
        <f>G9*'MPS(input_Option1)'!$E$63</f>
        <v>0</v>
      </c>
      <c r="T9" s="50">
        <f>H9*'MPS(input_Option1)'!$E$64</f>
        <v>0</v>
      </c>
      <c r="U9" s="50">
        <f>I9*'MPS(input_Option1)'!$E$65</f>
        <v>0</v>
      </c>
      <c r="V9" s="50">
        <f>J9*'MPS(input_Option1)'!$E$66</f>
        <v>0</v>
      </c>
      <c r="W9" s="50">
        <f>K9*'MPS(input_Option1)'!$E$67</f>
        <v>1207.658254265725</v>
      </c>
      <c r="X9" s="50">
        <f>L9*'MPS(input_Option1)'!$E$68</f>
        <v>0</v>
      </c>
      <c r="Y9" s="50">
        <f>M9*'MPS(input_Option1)'!$E$69</f>
        <v>0</v>
      </c>
      <c r="Z9" s="50">
        <f t="shared" ref="Z9:Z19" si="1">N9*0</f>
        <v>0</v>
      </c>
      <c r="AA9" s="229">
        <f t="shared" ref="AA9:AA19" si="2">SUM(O9:Z9)</f>
        <v>67113.517758258589</v>
      </c>
      <c r="AB9" s="229"/>
    </row>
    <row r="10" spans="1:52" x14ac:dyDescent="0.2">
      <c r="A10" s="219"/>
      <c r="B10" s="53">
        <f t="shared" ref="B10:B19" si="3">B9+1</f>
        <v>2020</v>
      </c>
      <c r="C10" s="60">
        <f>C9*0.9</f>
        <v>133.85840878890002</v>
      </c>
      <c r="D10" s="60">
        <f>D9*0.9</f>
        <v>342.24355667340001</v>
      </c>
      <c r="E10" s="60"/>
      <c r="F10" s="60">
        <f>F9*0.9</f>
        <v>17.70325428384</v>
      </c>
      <c r="G10" s="60">
        <f>G9*0.9</f>
        <v>1.1047758578460001</v>
      </c>
      <c r="H10" s="60"/>
      <c r="I10" s="60"/>
      <c r="J10" s="60"/>
      <c r="K10" s="60">
        <f>K9*0.9</f>
        <v>25.483995986849997</v>
      </c>
      <c r="L10" s="60"/>
      <c r="M10" s="60"/>
      <c r="N10" s="60"/>
      <c r="O10" s="50">
        <f>C10*'MPS(input_Option1)'!$E$59</f>
        <v>12221.272722426571</v>
      </c>
      <c r="P10" s="50">
        <f>D10*'MPS(input_Option1)'!$E$60</f>
        <v>46240.526942143078</v>
      </c>
      <c r="Q10" s="50">
        <f>E10*'MPS(input_Option1)'!$E$61</f>
        <v>0</v>
      </c>
      <c r="R10" s="50">
        <f>F10*'MPS(input_Option1)'!$E$62</f>
        <v>853.4738890239264</v>
      </c>
      <c r="S10" s="50">
        <f>G10*'MPS(input_Option1)'!$E$63</f>
        <v>0</v>
      </c>
      <c r="T10" s="50">
        <f>H10*'MPS(input_Option1)'!$E$64</f>
        <v>0</v>
      </c>
      <c r="U10" s="50">
        <f>I10*'MPS(input_Option1)'!$E$65</f>
        <v>0</v>
      </c>
      <c r="V10" s="50">
        <f>J10*'MPS(input_Option1)'!$E$66</f>
        <v>0</v>
      </c>
      <c r="W10" s="50">
        <f>K10*'MPS(input_Option1)'!$E$67</f>
        <v>1086.8924288391524</v>
      </c>
      <c r="X10" s="50">
        <f>L10*'MPS(input_Option1)'!$E$68</f>
        <v>0</v>
      </c>
      <c r="Y10" s="50">
        <f>M10*'MPS(input_Option1)'!$E$69</f>
        <v>0</v>
      </c>
      <c r="Z10" s="50">
        <f t="shared" si="1"/>
        <v>0</v>
      </c>
      <c r="AA10" s="229">
        <f t="shared" si="2"/>
        <v>60402.165982432722</v>
      </c>
      <c r="AB10" s="229"/>
    </row>
    <row r="11" spans="1:52" x14ac:dyDescent="0.2">
      <c r="A11" s="219"/>
      <c r="B11" s="53">
        <f t="shared" si="3"/>
        <v>2021</v>
      </c>
      <c r="C11" s="60">
        <f t="shared" ref="C11:D14" si="4">C10*0.9</f>
        <v>120.47256791001003</v>
      </c>
      <c r="D11" s="60">
        <f t="shared" si="4"/>
        <v>308.01920100606003</v>
      </c>
      <c r="E11" s="60"/>
      <c r="F11" s="60">
        <f t="shared" ref="F11:G14" si="5">F10*0.9</f>
        <v>15.932928855456</v>
      </c>
      <c r="G11" s="60">
        <f t="shared" si="5"/>
        <v>0.99429827206140009</v>
      </c>
      <c r="H11" s="60"/>
      <c r="I11" s="60"/>
      <c r="J11" s="60"/>
      <c r="K11" s="60">
        <f t="shared" ref="K11:K14" si="6">K10*0.9</f>
        <v>22.935596388164999</v>
      </c>
      <c r="L11" s="60"/>
      <c r="M11" s="60"/>
      <c r="N11" s="60"/>
      <c r="O11" s="50">
        <f>C11*'MPS(input_Option1)'!$E$59</f>
        <v>10999.145450183914</v>
      </c>
      <c r="P11" s="50">
        <f>D11*'MPS(input_Option1)'!$E$60</f>
        <v>41616.474247928774</v>
      </c>
      <c r="Q11" s="50">
        <f>E11*'MPS(input_Option1)'!$E$61</f>
        <v>0</v>
      </c>
      <c r="R11" s="50">
        <f>F11*'MPS(input_Option1)'!$E$62</f>
        <v>768.12650012153381</v>
      </c>
      <c r="S11" s="50">
        <f>G11*'MPS(input_Option1)'!$E$63</f>
        <v>0</v>
      </c>
      <c r="T11" s="50">
        <f>H11*'MPS(input_Option1)'!$E$64</f>
        <v>0</v>
      </c>
      <c r="U11" s="50">
        <f>I11*'MPS(input_Option1)'!$E$65</f>
        <v>0</v>
      </c>
      <c r="V11" s="50">
        <f>J11*'MPS(input_Option1)'!$E$66</f>
        <v>0</v>
      </c>
      <c r="W11" s="50">
        <f>K11*'MPS(input_Option1)'!$E$67</f>
        <v>978.20318595523713</v>
      </c>
      <c r="X11" s="50">
        <f>L11*'MPS(input_Option1)'!$E$68</f>
        <v>0</v>
      </c>
      <c r="Y11" s="50">
        <f>M11*'MPS(input_Option1)'!$E$69</f>
        <v>0</v>
      </c>
      <c r="Z11" s="50">
        <f t="shared" si="1"/>
        <v>0</v>
      </c>
      <c r="AA11" s="229">
        <f t="shared" si="2"/>
        <v>54361.949384189458</v>
      </c>
      <c r="AB11" s="229"/>
    </row>
    <row r="12" spans="1:52" x14ac:dyDescent="0.2">
      <c r="A12" s="219"/>
      <c r="B12" s="53">
        <f t="shared" si="3"/>
        <v>2022</v>
      </c>
      <c r="C12" s="60">
        <f t="shared" si="4"/>
        <v>108.42531111900902</v>
      </c>
      <c r="D12" s="60">
        <f t="shared" si="4"/>
        <v>277.21728090545406</v>
      </c>
      <c r="E12" s="60"/>
      <c r="F12" s="60">
        <f t="shared" si="5"/>
        <v>14.3396359699104</v>
      </c>
      <c r="G12" s="60">
        <f t="shared" si="5"/>
        <v>0.89486844485526007</v>
      </c>
      <c r="H12" s="60"/>
      <c r="I12" s="60"/>
      <c r="J12" s="60"/>
      <c r="K12" s="60">
        <f t="shared" si="6"/>
        <v>20.642036749348499</v>
      </c>
      <c r="L12" s="60"/>
      <c r="M12" s="60"/>
      <c r="N12" s="60"/>
      <c r="O12" s="50">
        <f>C12*'MPS(input_Option1)'!$E$59</f>
        <v>9899.2309051655229</v>
      </c>
      <c r="P12" s="50">
        <f>D12*'MPS(input_Option1)'!$E$60</f>
        <v>37454.826823135903</v>
      </c>
      <c r="Q12" s="50">
        <f>E12*'MPS(input_Option1)'!$E$61</f>
        <v>0</v>
      </c>
      <c r="R12" s="50">
        <f>F12*'MPS(input_Option1)'!$E$62</f>
        <v>691.31385010938038</v>
      </c>
      <c r="S12" s="50">
        <f>G12*'MPS(input_Option1)'!$E$63</f>
        <v>0</v>
      </c>
      <c r="T12" s="50">
        <f>H12*'MPS(input_Option1)'!$E$64</f>
        <v>0</v>
      </c>
      <c r="U12" s="50">
        <f>I12*'MPS(input_Option1)'!$E$65</f>
        <v>0</v>
      </c>
      <c r="V12" s="50">
        <f>J12*'MPS(input_Option1)'!$E$66</f>
        <v>0</v>
      </c>
      <c r="W12" s="50">
        <f>K12*'MPS(input_Option1)'!$E$67</f>
        <v>880.38286735971349</v>
      </c>
      <c r="X12" s="50">
        <f>L12*'MPS(input_Option1)'!$E$68</f>
        <v>0</v>
      </c>
      <c r="Y12" s="50">
        <f>M12*'MPS(input_Option1)'!$E$69</f>
        <v>0</v>
      </c>
      <c r="Z12" s="50">
        <f t="shared" si="1"/>
        <v>0</v>
      </c>
      <c r="AA12" s="229">
        <f t="shared" si="2"/>
        <v>48925.754445770523</v>
      </c>
      <c r="AB12" s="229"/>
    </row>
    <row r="13" spans="1:52" x14ac:dyDescent="0.2">
      <c r="A13" s="219"/>
      <c r="B13" s="53">
        <f t="shared" si="3"/>
        <v>2023</v>
      </c>
      <c r="C13" s="60">
        <f t="shared" si="4"/>
        <v>97.582780007108127</v>
      </c>
      <c r="D13" s="60">
        <f t="shared" si="4"/>
        <v>249.49555281490865</v>
      </c>
      <c r="E13" s="60"/>
      <c r="F13" s="60">
        <f t="shared" si="5"/>
        <v>12.90567237291936</v>
      </c>
      <c r="G13" s="60">
        <f t="shared" si="5"/>
        <v>0.80538160036973405</v>
      </c>
      <c r="H13" s="60"/>
      <c r="I13" s="60"/>
      <c r="J13" s="60"/>
      <c r="K13" s="60">
        <f t="shared" si="6"/>
        <v>18.57783307441365</v>
      </c>
      <c r="L13" s="60"/>
      <c r="M13" s="60"/>
      <c r="N13" s="60"/>
      <c r="O13" s="50">
        <f>C13*'MPS(input_Option1)'!$E$59</f>
        <v>8909.3078146489715</v>
      </c>
      <c r="P13" s="50">
        <f>D13*'MPS(input_Option1)'!$E$60</f>
        <v>33709.344140822308</v>
      </c>
      <c r="Q13" s="50">
        <f>E13*'MPS(input_Option1)'!$E$61</f>
        <v>0</v>
      </c>
      <c r="R13" s="50">
        <f>F13*'MPS(input_Option1)'!$E$62</f>
        <v>622.18246509844232</v>
      </c>
      <c r="S13" s="50">
        <f>G13*'MPS(input_Option1)'!$E$63</f>
        <v>0</v>
      </c>
      <c r="T13" s="50">
        <f>H13*'MPS(input_Option1)'!$E$64</f>
        <v>0</v>
      </c>
      <c r="U13" s="50">
        <f>I13*'MPS(input_Option1)'!$E$65</f>
        <v>0</v>
      </c>
      <c r="V13" s="50">
        <f>J13*'MPS(input_Option1)'!$E$66</f>
        <v>0</v>
      </c>
      <c r="W13" s="50">
        <f>K13*'MPS(input_Option1)'!$E$67</f>
        <v>792.34458062374222</v>
      </c>
      <c r="X13" s="50">
        <f>L13*'MPS(input_Option1)'!$E$68</f>
        <v>0</v>
      </c>
      <c r="Y13" s="50">
        <f>M13*'MPS(input_Option1)'!$E$69</f>
        <v>0</v>
      </c>
      <c r="Z13" s="50">
        <f t="shared" si="1"/>
        <v>0</v>
      </c>
      <c r="AA13" s="229">
        <f t="shared" si="2"/>
        <v>44033.179001193465</v>
      </c>
      <c r="AB13" s="229"/>
    </row>
    <row r="14" spans="1:52" x14ac:dyDescent="0.2">
      <c r="A14" s="219"/>
      <c r="B14" s="53">
        <f t="shared" si="3"/>
        <v>2024</v>
      </c>
      <c r="C14" s="60">
        <f t="shared" si="4"/>
        <v>87.82450200639731</v>
      </c>
      <c r="D14" s="60">
        <f t="shared" si="4"/>
        <v>224.54599753341779</v>
      </c>
      <c r="E14" s="60"/>
      <c r="F14" s="60">
        <f t="shared" si="5"/>
        <v>11.615105135627424</v>
      </c>
      <c r="G14" s="60">
        <f t="shared" si="5"/>
        <v>0.72484344033276071</v>
      </c>
      <c r="H14" s="60"/>
      <c r="I14" s="60"/>
      <c r="J14" s="60"/>
      <c r="K14" s="60">
        <f t="shared" si="6"/>
        <v>16.720049766972284</v>
      </c>
      <c r="L14" s="60"/>
      <c r="M14" s="60"/>
      <c r="N14" s="60"/>
      <c r="O14" s="50">
        <f>C14*'MPS(input_Option1)'!$E$59</f>
        <v>8018.3770331840742</v>
      </c>
      <c r="P14" s="50">
        <f>D14*'MPS(input_Option1)'!$E$60</f>
        <v>30338.409726740079</v>
      </c>
      <c r="Q14" s="50">
        <f>E14*'MPS(input_Option1)'!$E$61</f>
        <v>0</v>
      </c>
      <c r="R14" s="50">
        <f>F14*'MPS(input_Option1)'!$E$62</f>
        <v>559.9642185885981</v>
      </c>
      <c r="S14" s="50">
        <f>G14*'MPS(input_Option1)'!$E$63</f>
        <v>0</v>
      </c>
      <c r="T14" s="50">
        <f>H14*'MPS(input_Option1)'!$E$64</f>
        <v>0</v>
      </c>
      <c r="U14" s="50">
        <f>I14*'MPS(input_Option1)'!$E$65</f>
        <v>0</v>
      </c>
      <c r="V14" s="50">
        <f>J14*'MPS(input_Option1)'!$E$66</f>
        <v>0</v>
      </c>
      <c r="W14" s="50">
        <f>K14*'MPS(input_Option1)'!$E$67</f>
        <v>713.11012256136792</v>
      </c>
      <c r="X14" s="50">
        <f>L14*'MPS(input_Option1)'!$E$68</f>
        <v>0</v>
      </c>
      <c r="Y14" s="50">
        <f>M14*'MPS(input_Option1)'!$E$69</f>
        <v>0</v>
      </c>
      <c r="Z14" s="50">
        <f t="shared" si="1"/>
        <v>0</v>
      </c>
      <c r="AA14" s="229">
        <f t="shared" si="2"/>
        <v>39629.861101074115</v>
      </c>
      <c r="AB14" s="229"/>
    </row>
    <row r="15" spans="1:52" x14ac:dyDescent="0.2">
      <c r="A15" s="219"/>
      <c r="B15" s="53">
        <f t="shared" si="3"/>
        <v>2025</v>
      </c>
      <c r="C15" s="60">
        <f>C14*0.8</f>
        <v>70.259601605117851</v>
      </c>
      <c r="D15" s="60">
        <f>D14*0.8</f>
        <v>179.63679802673425</v>
      </c>
      <c r="E15" s="60"/>
      <c r="F15" s="60">
        <f>F14*0.8</f>
        <v>9.292084108501939</v>
      </c>
      <c r="G15" s="60">
        <f>G14*0.8</f>
        <v>0.57987475226620855</v>
      </c>
      <c r="H15" s="60"/>
      <c r="I15" s="60"/>
      <c r="J15" s="60"/>
      <c r="K15" s="60">
        <f>K14*0.8</f>
        <v>13.376039813577828</v>
      </c>
      <c r="L15" s="60"/>
      <c r="M15" s="60"/>
      <c r="N15" s="60"/>
      <c r="O15" s="50">
        <f>C15*'MPS(input_Option1)'!$E$59</f>
        <v>6414.7016265472594</v>
      </c>
      <c r="P15" s="50">
        <f>D15*'MPS(input_Option1)'!$E$60</f>
        <v>24270.727781392066</v>
      </c>
      <c r="Q15" s="50">
        <f>E15*'MPS(input_Option1)'!$E$61</f>
        <v>0</v>
      </c>
      <c r="R15" s="50">
        <f>F15*'MPS(input_Option1)'!$E$62</f>
        <v>447.97137487087849</v>
      </c>
      <c r="S15" s="50">
        <f>G15*'MPS(input_Option1)'!$E$63</f>
        <v>0</v>
      </c>
      <c r="T15" s="50">
        <f>H15*'MPS(input_Option1)'!$E$64</f>
        <v>0</v>
      </c>
      <c r="U15" s="50">
        <f>I15*'MPS(input_Option1)'!$E$65</f>
        <v>0</v>
      </c>
      <c r="V15" s="50">
        <f>J15*'MPS(input_Option1)'!$E$66</f>
        <v>0</v>
      </c>
      <c r="W15" s="50">
        <f>K15*'MPS(input_Option1)'!$E$67</f>
        <v>570.48809804909433</v>
      </c>
      <c r="X15" s="50">
        <f>L15*'MPS(input_Option1)'!$E$68</f>
        <v>0</v>
      </c>
      <c r="Y15" s="50">
        <f>M15*'MPS(input_Option1)'!$E$69</f>
        <v>0</v>
      </c>
      <c r="Z15" s="50">
        <f t="shared" si="1"/>
        <v>0</v>
      </c>
      <c r="AA15" s="229">
        <f t="shared" si="2"/>
        <v>31703.888880859296</v>
      </c>
      <c r="AB15" s="229"/>
    </row>
    <row r="16" spans="1:52" x14ac:dyDescent="0.2">
      <c r="A16" s="219"/>
      <c r="B16" s="53">
        <f t="shared" si="3"/>
        <v>2026</v>
      </c>
      <c r="C16" s="60">
        <f t="shared" ref="C16:D19" si="7">C15*0.8</f>
        <v>56.207681284094285</v>
      </c>
      <c r="D16" s="60">
        <f t="shared" si="7"/>
        <v>143.7094384213874</v>
      </c>
      <c r="E16" s="60"/>
      <c r="F16" s="60">
        <f t="shared" ref="F16:G19" si="8">F15*0.8</f>
        <v>7.4336672868015512</v>
      </c>
      <c r="G16" s="60">
        <f t="shared" si="8"/>
        <v>0.46389980181296686</v>
      </c>
      <c r="H16" s="60"/>
      <c r="I16" s="60"/>
      <c r="J16" s="60"/>
      <c r="K16" s="60">
        <f t="shared" ref="K16:K19" si="9">K15*0.8</f>
        <v>10.700831850862263</v>
      </c>
      <c r="L16" s="60"/>
      <c r="M16" s="60"/>
      <c r="N16" s="60"/>
      <c r="O16" s="50">
        <f>C16*'MPS(input_Option1)'!$E$59</f>
        <v>5131.7613012378079</v>
      </c>
      <c r="P16" s="50">
        <f>D16*'MPS(input_Option1)'!$E$60</f>
        <v>19416.582225113652</v>
      </c>
      <c r="Q16" s="50">
        <f>E16*'MPS(input_Option1)'!$E$61</f>
        <v>0</v>
      </c>
      <c r="R16" s="50">
        <f>F16*'MPS(input_Option1)'!$E$62</f>
        <v>358.37709989670282</v>
      </c>
      <c r="S16" s="50">
        <f>G16*'MPS(input_Option1)'!$E$63</f>
        <v>0</v>
      </c>
      <c r="T16" s="50">
        <f>H16*'MPS(input_Option1)'!$E$64</f>
        <v>0</v>
      </c>
      <c r="U16" s="50">
        <f>I16*'MPS(input_Option1)'!$E$65</f>
        <v>0</v>
      </c>
      <c r="V16" s="50">
        <f>J16*'MPS(input_Option1)'!$E$66</f>
        <v>0</v>
      </c>
      <c r="W16" s="50">
        <f>K16*'MPS(input_Option1)'!$E$67</f>
        <v>456.39047843927551</v>
      </c>
      <c r="X16" s="50">
        <f>L16*'MPS(input_Option1)'!$E$68</f>
        <v>0</v>
      </c>
      <c r="Y16" s="50">
        <f>M16*'MPS(input_Option1)'!$E$69</f>
        <v>0</v>
      </c>
      <c r="Z16" s="50">
        <f t="shared" si="1"/>
        <v>0</v>
      </c>
      <c r="AA16" s="229">
        <f t="shared" si="2"/>
        <v>25363.111104687439</v>
      </c>
      <c r="AB16" s="229"/>
    </row>
    <row r="17" spans="1:28" x14ac:dyDescent="0.2">
      <c r="A17" s="219"/>
      <c r="B17" s="53">
        <f t="shared" si="3"/>
        <v>2027</v>
      </c>
      <c r="C17" s="60">
        <f t="shared" si="7"/>
        <v>44.966145027275431</v>
      </c>
      <c r="D17" s="60">
        <f t="shared" si="7"/>
        <v>114.96755073710993</v>
      </c>
      <c r="E17" s="60"/>
      <c r="F17" s="60">
        <f t="shared" si="8"/>
        <v>5.9469338294412415</v>
      </c>
      <c r="G17" s="60">
        <f t="shared" si="8"/>
        <v>0.37111984145037352</v>
      </c>
      <c r="H17" s="60"/>
      <c r="I17" s="60"/>
      <c r="J17" s="60"/>
      <c r="K17" s="60">
        <f t="shared" si="9"/>
        <v>8.5606654806898117</v>
      </c>
      <c r="L17" s="60"/>
      <c r="M17" s="60"/>
      <c r="N17" s="60"/>
      <c r="O17" s="50">
        <f>C17*'MPS(input_Option1)'!$E$59</f>
        <v>4105.4090409902465</v>
      </c>
      <c r="P17" s="50">
        <f>D17*'MPS(input_Option1)'!$E$60</f>
        <v>15533.265780090924</v>
      </c>
      <c r="Q17" s="50">
        <f>E17*'MPS(input_Option1)'!$E$61</f>
        <v>0</v>
      </c>
      <c r="R17" s="50">
        <f>F17*'MPS(input_Option1)'!$E$62</f>
        <v>286.70167991736224</v>
      </c>
      <c r="S17" s="50">
        <f>G17*'MPS(input_Option1)'!$E$63</f>
        <v>0</v>
      </c>
      <c r="T17" s="50">
        <f>H17*'MPS(input_Option1)'!$E$64</f>
        <v>0</v>
      </c>
      <c r="U17" s="50">
        <f>I17*'MPS(input_Option1)'!$E$65</f>
        <v>0</v>
      </c>
      <c r="V17" s="50">
        <f>J17*'MPS(input_Option1)'!$E$66</f>
        <v>0</v>
      </c>
      <c r="W17" s="50">
        <f>K17*'MPS(input_Option1)'!$E$67</f>
        <v>365.11238275142045</v>
      </c>
      <c r="X17" s="50">
        <f>L17*'MPS(input_Option1)'!$E$68</f>
        <v>0</v>
      </c>
      <c r="Y17" s="50">
        <f>M17*'MPS(input_Option1)'!$E$69</f>
        <v>0</v>
      </c>
      <c r="Z17" s="50">
        <f t="shared" si="1"/>
        <v>0</v>
      </c>
      <c r="AA17" s="229">
        <f t="shared" si="2"/>
        <v>20290.488883749953</v>
      </c>
      <c r="AB17" s="229"/>
    </row>
    <row r="18" spans="1:28" x14ac:dyDescent="0.2">
      <c r="A18" s="219"/>
      <c r="B18" s="53">
        <f t="shared" si="3"/>
        <v>2028</v>
      </c>
      <c r="C18" s="60">
        <f t="shared" si="7"/>
        <v>35.972916021820346</v>
      </c>
      <c r="D18" s="60">
        <f t="shared" si="7"/>
        <v>91.974040589687945</v>
      </c>
      <c r="E18" s="60"/>
      <c r="F18" s="60">
        <f t="shared" si="8"/>
        <v>4.7575470635529937</v>
      </c>
      <c r="G18" s="60">
        <f t="shared" si="8"/>
        <v>0.29689587316029881</v>
      </c>
      <c r="H18" s="60"/>
      <c r="I18" s="60"/>
      <c r="J18" s="60"/>
      <c r="K18" s="60">
        <f t="shared" si="9"/>
        <v>6.8485323845518495</v>
      </c>
      <c r="L18" s="60"/>
      <c r="M18" s="60"/>
      <c r="N18" s="60"/>
      <c r="O18" s="50">
        <f>C18*'MPS(input_Option1)'!$E$59</f>
        <v>3284.3272327921977</v>
      </c>
      <c r="P18" s="50">
        <f>D18*'MPS(input_Option1)'!$E$60</f>
        <v>12426.612624072739</v>
      </c>
      <c r="Q18" s="50">
        <f>E18*'MPS(input_Option1)'!$E$61</f>
        <v>0</v>
      </c>
      <c r="R18" s="50">
        <f>F18*'MPS(input_Option1)'!$E$62</f>
        <v>229.36134393388983</v>
      </c>
      <c r="S18" s="50">
        <f>G18*'MPS(input_Option1)'!$E$63</f>
        <v>0</v>
      </c>
      <c r="T18" s="50">
        <f>H18*'MPS(input_Option1)'!$E$64</f>
        <v>0</v>
      </c>
      <c r="U18" s="50">
        <f>I18*'MPS(input_Option1)'!$E$65</f>
        <v>0</v>
      </c>
      <c r="V18" s="50">
        <f>J18*'MPS(input_Option1)'!$E$66</f>
        <v>0</v>
      </c>
      <c r="W18" s="50">
        <f>K18*'MPS(input_Option1)'!$E$67</f>
        <v>292.08990620113639</v>
      </c>
      <c r="X18" s="50">
        <f>L18*'MPS(input_Option1)'!$E$68</f>
        <v>0</v>
      </c>
      <c r="Y18" s="50">
        <f>M18*'MPS(input_Option1)'!$E$69</f>
        <v>0</v>
      </c>
      <c r="Z18" s="50">
        <f t="shared" si="1"/>
        <v>0</v>
      </c>
      <c r="AA18" s="229">
        <f t="shared" si="2"/>
        <v>16232.391106999963</v>
      </c>
      <c r="AB18" s="229"/>
    </row>
    <row r="19" spans="1:28" x14ac:dyDescent="0.2">
      <c r="A19" s="220"/>
      <c r="B19" s="53">
        <f t="shared" si="3"/>
        <v>2029</v>
      </c>
      <c r="C19" s="60">
        <f t="shared" si="7"/>
        <v>28.778332817456278</v>
      </c>
      <c r="D19" s="60">
        <f t="shared" si="7"/>
        <v>73.579232471750359</v>
      </c>
      <c r="E19" s="60"/>
      <c r="F19" s="60">
        <f t="shared" si="8"/>
        <v>3.806037650842395</v>
      </c>
      <c r="G19" s="60">
        <f t="shared" si="8"/>
        <v>0.23751669852823906</v>
      </c>
      <c r="H19" s="60"/>
      <c r="I19" s="60"/>
      <c r="J19" s="60"/>
      <c r="K19" s="60">
        <f t="shared" si="9"/>
        <v>5.4788259076414798</v>
      </c>
      <c r="L19" s="60"/>
      <c r="M19" s="60"/>
      <c r="N19" s="60"/>
      <c r="O19" s="50">
        <f>C19*'MPS(input_Option1)'!$E$59</f>
        <v>2627.4617862337582</v>
      </c>
      <c r="P19" s="50">
        <f>D19*'MPS(input_Option1)'!$E$60</f>
        <v>9941.2900992581926</v>
      </c>
      <c r="Q19" s="50">
        <f>E19*'MPS(input_Option1)'!$E$61</f>
        <v>0</v>
      </c>
      <c r="R19" s="50">
        <f>F19*'MPS(input_Option1)'!$E$62</f>
        <v>183.48907514711186</v>
      </c>
      <c r="S19" s="50">
        <f>G19*'MPS(input_Option1)'!$E$63</f>
        <v>0</v>
      </c>
      <c r="T19" s="50">
        <f>H19*'MPS(input_Option1)'!$E$64</f>
        <v>0</v>
      </c>
      <c r="U19" s="50">
        <f>I19*'MPS(input_Option1)'!$E$65</f>
        <v>0</v>
      </c>
      <c r="V19" s="50">
        <f>J19*'MPS(input_Option1)'!$E$66</f>
        <v>0</v>
      </c>
      <c r="W19" s="50">
        <f>K19*'MPS(input_Option1)'!$E$67</f>
        <v>233.67192496090911</v>
      </c>
      <c r="X19" s="50">
        <f>L19*'MPS(input_Option1)'!$E$68</f>
        <v>0</v>
      </c>
      <c r="Y19" s="50">
        <f>M19*'MPS(input_Option1)'!$E$69</f>
        <v>0</v>
      </c>
      <c r="Z19" s="50">
        <f t="shared" si="1"/>
        <v>0</v>
      </c>
      <c r="AA19" s="229">
        <f t="shared" si="2"/>
        <v>12985.912885599972</v>
      </c>
      <c r="AB19" s="229"/>
    </row>
    <row r="20" spans="1:28" x14ac:dyDescent="0.2">
      <c r="A20" s="57"/>
      <c r="B20" s="58" t="s">
        <v>259</v>
      </c>
      <c r="C20" s="76" t="s">
        <v>26</v>
      </c>
      <c r="D20" s="76" t="s">
        <v>26</v>
      </c>
      <c r="E20" s="76" t="s">
        <v>26</v>
      </c>
      <c r="F20" s="76" t="s">
        <v>26</v>
      </c>
      <c r="G20" s="76" t="s">
        <v>26</v>
      </c>
      <c r="H20" s="76" t="s">
        <v>26</v>
      </c>
      <c r="I20" s="76" t="s">
        <v>26</v>
      </c>
      <c r="J20" s="76" t="s">
        <v>26</v>
      </c>
      <c r="K20" s="76" t="s">
        <v>26</v>
      </c>
      <c r="L20" s="76" t="s">
        <v>26</v>
      </c>
      <c r="M20" s="76" t="s">
        <v>26</v>
      </c>
      <c r="N20" s="76" t="s">
        <v>26</v>
      </c>
      <c r="O20" s="76" t="s">
        <v>26</v>
      </c>
      <c r="P20" s="76" t="s">
        <v>26</v>
      </c>
      <c r="Q20" s="76" t="s">
        <v>26</v>
      </c>
      <c r="R20" s="76" t="s">
        <v>26</v>
      </c>
      <c r="S20" s="76" t="s">
        <v>26</v>
      </c>
      <c r="T20" s="76" t="s">
        <v>26</v>
      </c>
      <c r="U20" s="76" t="s">
        <v>26</v>
      </c>
      <c r="V20" s="76" t="s">
        <v>26</v>
      </c>
      <c r="W20" s="76" t="s">
        <v>26</v>
      </c>
      <c r="X20" s="76" t="s">
        <v>26</v>
      </c>
      <c r="Y20" s="76" t="s">
        <v>26</v>
      </c>
      <c r="Z20" s="76" t="s">
        <v>26</v>
      </c>
      <c r="AA20" s="229">
        <f>SUM(AA8:AA19)</f>
        <v>450285.02828936081</v>
      </c>
      <c r="AB20" s="229"/>
    </row>
    <row r="23" spans="1:28" x14ac:dyDescent="0.2">
      <c r="A23" s="77" t="s">
        <v>268</v>
      </c>
    </row>
    <row r="24" spans="1:28" x14ac:dyDescent="0.2">
      <c r="A24" s="213" t="s">
        <v>230</v>
      </c>
      <c r="B24" s="213"/>
      <c r="C24" s="211" t="s">
        <v>209</v>
      </c>
      <c r="D24" s="211"/>
      <c r="E24" s="211"/>
      <c r="F24" s="211"/>
      <c r="G24" s="211"/>
      <c r="H24" s="211" t="s">
        <v>213</v>
      </c>
      <c r="I24" s="211"/>
      <c r="J24" s="211"/>
      <c r="K24" s="211"/>
      <c r="L24" s="211"/>
      <c r="M24" s="1"/>
      <c r="N24" s="1"/>
    </row>
    <row r="25" spans="1:28" x14ac:dyDescent="0.2">
      <c r="A25" s="213" t="s">
        <v>235</v>
      </c>
      <c r="B25" s="213"/>
      <c r="C25" s="211" t="s">
        <v>210</v>
      </c>
      <c r="D25" s="211"/>
      <c r="E25" s="211"/>
      <c r="F25" s="211"/>
      <c r="G25" s="211"/>
      <c r="H25" s="211" t="s">
        <v>269</v>
      </c>
      <c r="I25" s="211"/>
      <c r="J25" s="211"/>
      <c r="K25" s="211"/>
      <c r="L25" s="211"/>
      <c r="M25" s="1"/>
      <c r="N25" s="1"/>
    </row>
    <row r="26" spans="1:28" ht="16.5" customHeight="1" x14ac:dyDescent="0.2">
      <c r="A26" s="213" t="s">
        <v>241</v>
      </c>
      <c r="B26" s="213"/>
      <c r="C26" s="211" t="s">
        <v>211</v>
      </c>
      <c r="D26" s="211"/>
      <c r="E26" s="211"/>
      <c r="F26" s="211"/>
      <c r="G26" s="211"/>
      <c r="H26" s="211" t="s">
        <v>215</v>
      </c>
      <c r="I26" s="211"/>
      <c r="J26" s="211"/>
      <c r="K26" s="211"/>
      <c r="L26" s="211"/>
      <c r="M26" s="1"/>
      <c r="N26" s="1"/>
    </row>
    <row r="27" spans="1:28" ht="28" x14ac:dyDescent="0.2">
      <c r="A27" s="213" t="s">
        <v>270</v>
      </c>
      <c r="B27" s="213"/>
      <c r="C27" s="51" t="s">
        <v>271</v>
      </c>
      <c r="D27" s="51" t="s">
        <v>272</v>
      </c>
      <c r="E27" s="52" t="s">
        <v>273</v>
      </c>
      <c r="F27" s="60"/>
      <c r="G27" s="60"/>
      <c r="H27" s="51" t="str">
        <f>C27</f>
        <v>Gas/diesel oil</v>
      </c>
      <c r="I27" s="51" t="str">
        <f>D27</f>
        <v>Motor gasoline</v>
      </c>
      <c r="J27" s="52" t="str">
        <f>E27</f>
        <v>Crude oil</v>
      </c>
      <c r="K27" s="78">
        <f>F27</f>
        <v>0</v>
      </c>
      <c r="L27" s="78">
        <f>G27</f>
        <v>0</v>
      </c>
      <c r="M27" s="1"/>
      <c r="N27" s="1"/>
    </row>
    <row r="28" spans="1:28" x14ac:dyDescent="0.2">
      <c r="A28" s="217" t="s">
        <v>274</v>
      </c>
      <c r="B28" s="217"/>
      <c r="C28" s="79">
        <f>'MPS(calc_process_Option1)'!E105</f>
        <v>4.2999999999999997E-2</v>
      </c>
      <c r="D28" s="79">
        <f>'MPS(calc_process_Option1)'!E106</f>
        <v>4.4299999999999999E-2</v>
      </c>
      <c r="E28" s="80">
        <f>'MPS(calc_process_Option1)'!E107</f>
        <v>4.2299999999999997E-2</v>
      </c>
      <c r="F28" s="61"/>
      <c r="G28" s="61"/>
      <c r="H28" s="81">
        <f>'MPS(calc_process_Option1)'!E108</f>
        <v>7.4099999999999999E-2</v>
      </c>
      <c r="I28" s="81">
        <f>'MPS(calc_process_Option1)'!E109</f>
        <v>6.93E-2</v>
      </c>
      <c r="J28" s="81">
        <f>'MPS(calc_process_Option1)'!E110</f>
        <v>7.3300000000000004E-2</v>
      </c>
      <c r="K28" s="62"/>
      <c r="L28" s="62"/>
      <c r="M28" s="1"/>
      <c r="N28" s="1"/>
    </row>
    <row r="29" spans="1:28" x14ac:dyDescent="0.2">
      <c r="A29" s="77"/>
      <c r="R29"/>
    </row>
    <row r="31" spans="1:28" x14ac:dyDescent="0.2">
      <c r="A31" s="77" t="s">
        <v>275</v>
      </c>
      <c r="B31" s="47"/>
      <c r="Z31" s="1" t="s">
        <v>276</v>
      </c>
    </row>
    <row r="32" spans="1:28" x14ac:dyDescent="0.2">
      <c r="A32" s="213" t="s">
        <v>230</v>
      </c>
      <c r="B32" s="213"/>
      <c r="C32" s="211" t="s">
        <v>35</v>
      </c>
      <c r="D32" s="211"/>
      <c r="E32" s="211"/>
      <c r="F32" s="211"/>
      <c r="G32" s="211"/>
      <c r="H32" s="211" t="s">
        <v>277</v>
      </c>
      <c r="I32" s="211"/>
      <c r="J32" s="211"/>
      <c r="K32" s="211"/>
      <c r="L32" s="211"/>
      <c r="M32" s="212" t="s">
        <v>278</v>
      </c>
      <c r="N32" s="212"/>
    </row>
    <row r="33" spans="1:18" ht="75.650000000000006" customHeight="1" x14ac:dyDescent="0.2">
      <c r="A33" s="213" t="s">
        <v>235</v>
      </c>
      <c r="B33" s="213"/>
      <c r="C33" s="211" t="s">
        <v>279</v>
      </c>
      <c r="D33" s="211"/>
      <c r="E33" s="211"/>
      <c r="F33" s="211"/>
      <c r="G33" s="211"/>
      <c r="H33" s="211" t="s">
        <v>280</v>
      </c>
      <c r="I33" s="211"/>
      <c r="J33" s="211"/>
      <c r="K33" s="211"/>
      <c r="L33" s="211"/>
      <c r="M33" s="221" t="s">
        <v>281</v>
      </c>
      <c r="N33" s="221"/>
    </row>
    <row r="34" spans="1:18" ht="15.65" customHeight="1" x14ac:dyDescent="0.2">
      <c r="A34" s="213" t="s">
        <v>241</v>
      </c>
      <c r="B34" s="213"/>
      <c r="C34" s="211" t="s">
        <v>37</v>
      </c>
      <c r="D34" s="211"/>
      <c r="E34" s="211"/>
      <c r="F34" s="211"/>
      <c r="G34" s="211"/>
      <c r="H34" s="211" t="s">
        <v>282</v>
      </c>
      <c r="I34" s="211"/>
      <c r="J34" s="211"/>
      <c r="K34" s="211"/>
      <c r="L34" s="211"/>
      <c r="M34" s="212" t="s">
        <v>282</v>
      </c>
      <c r="N34" s="212"/>
    </row>
    <row r="35" spans="1:18" ht="28" x14ac:dyDescent="0.2">
      <c r="A35" s="213" t="s">
        <v>270</v>
      </c>
      <c r="B35" s="213"/>
      <c r="C35" s="51" t="str">
        <f>C27</f>
        <v>Gas/diesel oil</v>
      </c>
      <c r="D35" s="51" t="str">
        <f>D27</f>
        <v>Motor gasoline</v>
      </c>
      <c r="E35" s="52" t="str">
        <f>E27</f>
        <v>Crude oil</v>
      </c>
      <c r="F35" s="78">
        <f>F27</f>
        <v>0</v>
      </c>
      <c r="G35" s="78">
        <f>G27</f>
        <v>0</v>
      </c>
      <c r="H35" s="52" t="str">
        <f>C35</f>
        <v>Gas/diesel oil</v>
      </c>
      <c r="I35" s="52" t="str">
        <f>D35</f>
        <v>Motor gasoline</v>
      </c>
      <c r="J35" s="52" t="str">
        <f>E35</f>
        <v>Crude oil</v>
      </c>
      <c r="K35" s="78">
        <f>F35</f>
        <v>0</v>
      </c>
      <c r="L35" s="78">
        <f>G35</f>
        <v>0</v>
      </c>
      <c r="M35" s="212" t="s">
        <v>26</v>
      </c>
      <c r="N35" s="212"/>
    </row>
    <row r="36" spans="1:18" x14ac:dyDescent="0.2">
      <c r="A36" s="218" t="s">
        <v>221</v>
      </c>
      <c r="B36" s="53">
        <f>'MPS(input_RL_Opt1)'!$B$8</f>
        <v>2018</v>
      </c>
      <c r="C36" s="46"/>
      <c r="D36" s="46">
        <f>4602/1000*783</f>
        <v>3603.3660000000004</v>
      </c>
      <c r="E36" s="46"/>
      <c r="F36" s="46"/>
      <c r="G36" s="46"/>
      <c r="H36" s="82">
        <f t="shared" ref="H36:H47" si="10">C36*C$28*H$28</f>
        <v>0</v>
      </c>
      <c r="I36" s="82">
        <f t="shared" ref="I36:L36" si="11">D36*D$28*I$28</f>
        <v>11.062297586340001</v>
      </c>
      <c r="J36" s="82">
        <f t="shared" si="11"/>
        <v>0</v>
      </c>
      <c r="K36" s="82">
        <f t="shared" si="11"/>
        <v>0</v>
      </c>
      <c r="L36" s="82">
        <f t="shared" si="11"/>
        <v>0</v>
      </c>
      <c r="M36" s="222">
        <f>SUM(H36:L36)</f>
        <v>11.062297586340001</v>
      </c>
      <c r="N36" s="222"/>
    </row>
    <row r="37" spans="1:18" x14ac:dyDescent="0.2">
      <c r="A37" s="219"/>
      <c r="B37" s="53">
        <f>B36+1</f>
        <v>2019</v>
      </c>
      <c r="C37" s="46"/>
      <c r="D37" s="46">
        <f>5846/1000*783</f>
        <v>4577.4179999999997</v>
      </c>
      <c r="E37" s="46"/>
      <c r="F37" s="46"/>
      <c r="G37" s="46"/>
      <c r="H37" s="82">
        <f t="shared" si="10"/>
        <v>0</v>
      </c>
      <c r="I37" s="82">
        <f t="shared" ref="I37:I47" si="12">D37*D$28*I$28</f>
        <v>14.052627485819999</v>
      </c>
      <c r="J37" s="82">
        <f t="shared" ref="J37:J47" si="13">E37*E$28*J$28</f>
        <v>0</v>
      </c>
      <c r="K37" s="82">
        <f t="shared" ref="K37:K47" si="14">F37*F$28*K$28</f>
        <v>0</v>
      </c>
      <c r="L37" s="82">
        <f t="shared" ref="L37:L47" si="15">G37*G$28*L$28</f>
        <v>0</v>
      </c>
      <c r="M37" s="222">
        <f t="shared" ref="M37:M47" si="16">SUM(H37:L37)</f>
        <v>14.052627485819999</v>
      </c>
      <c r="N37" s="222"/>
    </row>
    <row r="38" spans="1:18" x14ac:dyDescent="0.2">
      <c r="A38" s="219"/>
      <c r="B38" s="53">
        <f t="shared" ref="B38:B47" si="17">B37+1</f>
        <v>2020</v>
      </c>
      <c r="C38" s="46"/>
      <c r="D38" s="46">
        <f>6957/1000*783</f>
        <v>5447.3310000000001</v>
      </c>
      <c r="E38" s="46"/>
      <c r="F38" s="46"/>
      <c r="G38" s="46"/>
      <c r="H38" s="82">
        <f t="shared" si="10"/>
        <v>0</v>
      </c>
      <c r="I38" s="82">
        <f t="shared" si="12"/>
        <v>16.723251696689999</v>
      </c>
      <c r="J38" s="82">
        <f t="shared" si="13"/>
        <v>0</v>
      </c>
      <c r="K38" s="82">
        <f t="shared" si="14"/>
        <v>0</v>
      </c>
      <c r="L38" s="82">
        <f t="shared" si="15"/>
        <v>0</v>
      </c>
      <c r="M38" s="222">
        <f t="shared" si="16"/>
        <v>16.723251696689999</v>
      </c>
      <c r="N38" s="222"/>
      <c r="R38" s="83"/>
    </row>
    <row r="39" spans="1:18" x14ac:dyDescent="0.2">
      <c r="A39" s="219"/>
      <c r="B39" s="53">
        <f t="shared" si="17"/>
        <v>2021</v>
      </c>
      <c r="C39" s="46"/>
      <c r="D39" s="46">
        <f t="shared" ref="D39:D47" si="18">D38</f>
        <v>5447.3310000000001</v>
      </c>
      <c r="E39" s="46"/>
      <c r="F39" s="46"/>
      <c r="G39" s="46"/>
      <c r="H39" s="82">
        <f t="shared" si="10"/>
        <v>0</v>
      </c>
      <c r="I39" s="82">
        <f t="shared" si="12"/>
        <v>16.723251696689999</v>
      </c>
      <c r="J39" s="82">
        <f t="shared" si="13"/>
        <v>0</v>
      </c>
      <c r="K39" s="82">
        <f t="shared" si="14"/>
        <v>0</v>
      </c>
      <c r="L39" s="82">
        <f t="shared" si="15"/>
        <v>0</v>
      </c>
      <c r="M39" s="222">
        <f t="shared" si="16"/>
        <v>16.723251696689999</v>
      </c>
      <c r="N39" s="222"/>
    </row>
    <row r="40" spans="1:18" x14ac:dyDescent="0.2">
      <c r="A40" s="219"/>
      <c r="B40" s="53">
        <f t="shared" si="17"/>
        <v>2022</v>
      </c>
      <c r="C40" s="46"/>
      <c r="D40" s="46">
        <f t="shared" si="18"/>
        <v>5447.3310000000001</v>
      </c>
      <c r="E40" s="46"/>
      <c r="F40" s="46"/>
      <c r="G40" s="46"/>
      <c r="H40" s="82">
        <f t="shared" si="10"/>
        <v>0</v>
      </c>
      <c r="I40" s="82">
        <f t="shared" si="12"/>
        <v>16.723251696689999</v>
      </c>
      <c r="J40" s="82">
        <f t="shared" si="13"/>
        <v>0</v>
      </c>
      <c r="K40" s="82">
        <f t="shared" si="14"/>
        <v>0</v>
      </c>
      <c r="L40" s="82">
        <f t="shared" si="15"/>
        <v>0</v>
      </c>
      <c r="M40" s="222">
        <f t="shared" si="16"/>
        <v>16.723251696689999</v>
      </c>
      <c r="N40" s="222"/>
    </row>
    <row r="41" spans="1:18" x14ac:dyDescent="0.2">
      <c r="A41" s="219"/>
      <c r="B41" s="53">
        <f t="shared" si="17"/>
        <v>2023</v>
      </c>
      <c r="C41" s="46"/>
      <c r="D41" s="46">
        <f t="shared" si="18"/>
        <v>5447.3310000000001</v>
      </c>
      <c r="E41" s="46"/>
      <c r="F41" s="46"/>
      <c r="G41" s="46"/>
      <c r="H41" s="82">
        <f t="shared" si="10"/>
        <v>0</v>
      </c>
      <c r="I41" s="82">
        <f t="shared" si="12"/>
        <v>16.723251696689999</v>
      </c>
      <c r="J41" s="82">
        <f t="shared" si="13"/>
        <v>0</v>
      </c>
      <c r="K41" s="82">
        <f t="shared" si="14"/>
        <v>0</v>
      </c>
      <c r="L41" s="82">
        <f t="shared" si="15"/>
        <v>0</v>
      </c>
      <c r="M41" s="222">
        <f t="shared" si="16"/>
        <v>16.723251696689999</v>
      </c>
      <c r="N41" s="222"/>
    </row>
    <row r="42" spans="1:18" x14ac:dyDescent="0.2">
      <c r="A42" s="219"/>
      <c r="B42" s="53">
        <f t="shared" si="17"/>
        <v>2024</v>
      </c>
      <c r="C42" s="46"/>
      <c r="D42" s="46">
        <f t="shared" si="18"/>
        <v>5447.3310000000001</v>
      </c>
      <c r="E42" s="46"/>
      <c r="F42" s="46"/>
      <c r="G42" s="46"/>
      <c r="H42" s="82">
        <f t="shared" si="10"/>
        <v>0</v>
      </c>
      <c r="I42" s="82">
        <f t="shared" si="12"/>
        <v>16.723251696689999</v>
      </c>
      <c r="J42" s="82">
        <f t="shared" si="13"/>
        <v>0</v>
      </c>
      <c r="K42" s="82">
        <f t="shared" si="14"/>
        <v>0</v>
      </c>
      <c r="L42" s="82">
        <f t="shared" si="15"/>
        <v>0</v>
      </c>
      <c r="M42" s="222">
        <f t="shared" si="16"/>
        <v>16.723251696689999</v>
      </c>
      <c r="N42" s="222"/>
    </row>
    <row r="43" spans="1:18" x14ac:dyDescent="0.2">
      <c r="A43" s="219"/>
      <c r="B43" s="53">
        <f t="shared" si="17"/>
        <v>2025</v>
      </c>
      <c r="C43" s="46"/>
      <c r="D43" s="46">
        <f t="shared" si="18"/>
        <v>5447.3310000000001</v>
      </c>
      <c r="E43" s="46"/>
      <c r="F43" s="46"/>
      <c r="G43" s="46"/>
      <c r="H43" s="82">
        <f t="shared" si="10"/>
        <v>0</v>
      </c>
      <c r="I43" s="82">
        <f t="shared" si="12"/>
        <v>16.723251696689999</v>
      </c>
      <c r="J43" s="82">
        <f t="shared" si="13"/>
        <v>0</v>
      </c>
      <c r="K43" s="82">
        <f t="shared" si="14"/>
        <v>0</v>
      </c>
      <c r="L43" s="82">
        <f t="shared" si="15"/>
        <v>0</v>
      </c>
      <c r="M43" s="222">
        <f t="shared" si="16"/>
        <v>16.723251696689999</v>
      </c>
      <c r="N43" s="222"/>
    </row>
    <row r="44" spans="1:18" x14ac:dyDescent="0.2">
      <c r="A44" s="219"/>
      <c r="B44" s="53">
        <f t="shared" si="17"/>
        <v>2026</v>
      </c>
      <c r="C44" s="46"/>
      <c r="D44" s="46">
        <f t="shared" si="18"/>
        <v>5447.3310000000001</v>
      </c>
      <c r="E44" s="46"/>
      <c r="F44" s="46"/>
      <c r="G44" s="46"/>
      <c r="H44" s="82">
        <f t="shared" si="10"/>
        <v>0</v>
      </c>
      <c r="I44" s="82">
        <f t="shared" si="12"/>
        <v>16.723251696689999</v>
      </c>
      <c r="J44" s="82">
        <f t="shared" si="13"/>
        <v>0</v>
      </c>
      <c r="K44" s="82">
        <f t="shared" si="14"/>
        <v>0</v>
      </c>
      <c r="L44" s="82">
        <f t="shared" si="15"/>
        <v>0</v>
      </c>
      <c r="M44" s="222">
        <f t="shared" si="16"/>
        <v>16.723251696689999</v>
      </c>
      <c r="N44" s="222"/>
    </row>
    <row r="45" spans="1:18" x14ac:dyDescent="0.2">
      <c r="A45" s="219"/>
      <c r="B45" s="53">
        <f t="shared" si="17"/>
        <v>2027</v>
      </c>
      <c r="C45" s="46"/>
      <c r="D45" s="46">
        <f t="shared" si="18"/>
        <v>5447.3310000000001</v>
      </c>
      <c r="E45" s="46"/>
      <c r="F45" s="46"/>
      <c r="G45" s="46"/>
      <c r="H45" s="82">
        <f t="shared" si="10"/>
        <v>0</v>
      </c>
      <c r="I45" s="82">
        <f t="shared" si="12"/>
        <v>16.723251696689999</v>
      </c>
      <c r="J45" s="82">
        <f t="shared" si="13"/>
        <v>0</v>
      </c>
      <c r="K45" s="82">
        <f t="shared" si="14"/>
        <v>0</v>
      </c>
      <c r="L45" s="82">
        <f t="shared" si="15"/>
        <v>0</v>
      </c>
      <c r="M45" s="222">
        <f t="shared" si="16"/>
        <v>16.723251696689999</v>
      </c>
      <c r="N45" s="222"/>
    </row>
    <row r="46" spans="1:18" x14ac:dyDescent="0.2">
      <c r="A46" s="219"/>
      <c r="B46" s="53">
        <f t="shared" si="17"/>
        <v>2028</v>
      </c>
      <c r="C46" s="46"/>
      <c r="D46" s="46">
        <f t="shared" si="18"/>
        <v>5447.3310000000001</v>
      </c>
      <c r="E46" s="46"/>
      <c r="F46" s="46"/>
      <c r="G46" s="46"/>
      <c r="H46" s="82">
        <f t="shared" si="10"/>
        <v>0</v>
      </c>
      <c r="I46" s="82">
        <f t="shared" si="12"/>
        <v>16.723251696689999</v>
      </c>
      <c r="J46" s="82">
        <f t="shared" si="13"/>
        <v>0</v>
      </c>
      <c r="K46" s="82">
        <f t="shared" si="14"/>
        <v>0</v>
      </c>
      <c r="L46" s="82">
        <f t="shared" si="15"/>
        <v>0</v>
      </c>
      <c r="M46" s="222">
        <f t="shared" si="16"/>
        <v>16.723251696689999</v>
      </c>
      <c r="N46" s="222"/>
    </row>
    <row r="47" spans="1:18" x14ac:dyDescent="0.2">
      <c r="A47" s="220"/>
      <c r="B47" s="53">
        <f t="shared" si="17"/>
        <v>2029</v>
      </c>
      <c r="C47" s="46"/>
      <c r="D47" s="46">
        <f t="shared" si="18"/>
        <v>5447.3310000000001</v>
      </c>
      <c r="E47" s="46"/>
      <c r="F47" s="46"/>
      <c r="G47" s="46"/>
      <c r="H47" s="82">
        <f t="shared" si="10"/>
        <v>0</v>
      </c>
      <c r="I47" s="82">
        <f t="shared" si="12"/>
        <v>16.723251696689999</v>
      </c>
      <c r="J47" s="82">
        <f t="shared" si="13"/>
        <v>0</v>
      </c>
      <c r="K47" s="82">
        <f t="shared" si="14"/>
        <v>0</v>
      </c>
      <c r="L47" s="82">
        <f t="shared" si="15"/>
        <v>0</v>
      </c>
      <c r="M47" s="222">
        <f t="shared" si="16"/>
        <v>16.723251696689999</v>
      </c>
      <c r="N47" s="222"/>
    </row>
    <row r="48" spans="1:18" x14ac:dyDescent="0.2">
      <c r="A48" s="175"/>
      <c r="B48" s="58" t="s">
        <v>259</v>
      </c>
      <c r="C48" s="76" t="s">
        <v>26</v>
      </c>
      <c r="D48" s="76" t="s">
        <v>26</v>
      </c>
      <c r="E48" s="76" t="s">
        <v>26</v>
      </c>
      <c r="F48" s="76" t="s">
        <v>26</v>
      </c>
      <c r="G48" s="76" t="s">
        <v>26</v>
      </c>
      <c r="H48" s="76" t="s">
        <v>26</v>
      </c>
      <c r="I48" s="76" t="s">
        <v>26</v>
      </c>
      <c r="J48" s="76" t="s">
        <v>26</v>
      </c>
      <c r="K48" s="76" t="s">
        <v>26</v>
      </c>
      <c r="L48" s="76" t="s">
        <v>26</v>
      </c>
      <c r="M48" s="222">
        <f>SUM(M36:M47)</f>
        <v>192.34744203905998</v>
      </c>
      <c r="N48" s="222"/>
    </row>
    <row r="51" spans="1:19" ht="15" customHeight="1" x14ac:dyDescent="0.2">
      <c r="A51" s="77" t="s">
        <v>283</v>
      </c>
    </row>
    <row r="52" spans="1:19" x14ac:dyDescent="0.2">
      <c r="A52" s="213" t="s">
        <v>284</v>
      </c>
      <c r="B52" s="213"/>
      <c r="C52" s="63"/>
      <c r="D52" s="63"/>
      <c r="E52" s="60"/>
      <c r="F52" s="60"/>
      <c r="G52" s="60"/>
      <c r="H52" s="78">
        <f t="shared" ref="H52:Q53" si="19">C52</f>
        <v>0</v>
      </c>
      <c r="I52" s="78">
        <f t="shared" si="19"/>
        <v>0</v>
      </c>
      <c r="J52" s="78">
        <f t="shared" si="19"/>
        <v>0</v>
      </c>
      <c r="K52" s="78">
        <f t="shared" si="19"/>
        <v>0</v>
      </c>
      <c r="L52" s="78">
        <f t="shared" si="19"/>
        <v>0</v>
      </c>
      <c r="M52" s="78">
        <f t="shared" si="19"/>
        <v>0</v>
      </c>
      <c r="N52" s="78">
        <f t="shared" si="19"/>
        <v>0</v>
      </c>
      <c r="O52" s="78">
        <f t="shared" si="19"/>
        <v>0</v>
      </c>
      <c r="P52" s="78">
        <f t="shared" si="19"/>
        <v>0</v>
      </c>
      <c r="Q52" s="78">
        <f t="shared" si="19"/>
        <v>0</v>
      </c>
      <c r="R52" s="212" t="s">
        <v>26</v>
      </c>
      <c r="S52" s="212"/>
    </row>
    <row r="53" spans="1:19" x14ac:dyDescent="0.2">
      <c r="A53" s="213" t="s">
        <v>270</v>
      </c>
      <c r="B53" s="213"/>
      <c r="C53" s="63"/>
      <c r="D53" s="63"/>
      <c r="E53" s="60"/>
      <c r="F53" s="60"/>
      <c r="G53" s="60"/>
      <c r="H53" s="78">
        <f t="shared" si="19"/>
        <v>0</v>
      </c>
      <c r="I53" s="78">
        <f t="shared" si="19"/>
        <v>0</v>
      </c>
      <c r="J53" s="78">
        <f t="shared" si="19"/>
        <v>0</v>
      </c>
      <c r="K53" s="78">
        <f t="shared" si="19"/>
        <v>0</v>
      </c>
      <c r="L53" s="78">
        <f t="shared" si="19"/>
        <v>0</v>
      </c>
      <c r="M53" s="78">
        <f t="shared" si="19"/>
        <v>0</v>
      </c>
      <c r="N53" s="78">
        <f t="shared" si="19"/>
        <v>0</v>
      </c>
      <c r="O53" s="78">
        <f t="shared" si="19"/>
        <v>0</v>
      </c>
      <c r="P53" s="78">
        <f t="shared" si="19"/>
        <v>0</v>
      </c>
      <c r="Q53" s="78">
        <f t="shared" si="19"/>
        <v>0</v>
      </c>
      <c r="R53" s="212" t="s">
        <v>26</v>
      </c>
      <c r="S53" s="212"/>
    </row>
    <row r="54" spans="1:19" ht="14.15" customHeight="1" x14ac:dyDescent="0.2">
      <c r="A54" s="223" t="s">
        <v>274</v>
      </c>
      <c r="B54" s="224"/>
      <c r="C54" s="211" t="s">
        <v>56</v>
      </c>
      <c r="D54" s="211"/>
      <c r="E54" s="211"/>
      <c r="F54" s="211"/>
      <c r="G54" s="211"/>
      <c r="H54" s="211" t="s">
        <v>209</v>
      </c>
      <c r="I54" s="211"/>
      <c r="J54" s="211"/>
      <c r="K54" s="211"/>
      <c r="L54" s="211"/>
      <c r="M54" s="212" t="s">
        <v>285</v>
      </c>
      <c r="N54" s="212" t="s">
        <v>285</v>
      </c>
      <c r="O54" s="212" t="s">
        <v>285</v>
      </c>
      <c r="P54" s="212" t="s">
        <v>285</v>
      </c>
      <c r="Q54" s="212" t="s">
        <v>285</v>
      </c>
      <c r="R54" s="212" t="s">
        <v>285</v>
      </c>
      <c r="S54" s="212"/>
    </row>
    <row r="55" spans="1:19" ht="29.15" customHeight="1" x14ac:dyDescent="0.2">
      <c r="A55" s="225"/>
      <c r="B55" s="226"/>
      <c r="C55" s="211" t="s">
        <v>286</v>
      </c>
      <c r="D55" s="211"/>
      <c r="E55" s="211"/>
      <c r="F55" s="211"/>
      <c r="G55" s="211"/>
      <c r="H55" s="84" t="e">
        <f>INDEX($C$28:$G$28,1,MATCH(H53, $C$27:$G$27,0))</f>
        <v>#N/A</v>
      </c>
      <c r="I55" s="84" t="e">
        <f t="shared" ref="I55:L55" si="20">INDEX($C$28:$G$28,1,MATCH(I53, $C$27:$G$27,0))</f>
        <v>#N/A</v>
      </c>
      <c r="J55" s="84" t="e">
        <f t="shared" si="20"/>
        <v>#N/A</v>
      </c>
      <c r="K55" s="84" t="e">
        <f>INDEX($C$28:$G$28,1,MATCH(K53,$C$27:$G$27,0))</f>
        <v>#N/A</v>
      </c>
      <c r="L55" s="84" t="e">
        <f t="shared" si="20"/>
        <v>#N/A</v>
      </c>
      <c r="M55" s="212"/>
      <c r="N55" s="212"/>
      <c r="O55" s="212"/>
      <c r="P55" s="212"/>
      <c r="Q55" s="212"/>
      <c r="R55" s="212"/>
      <c r="S55" s="212"/>
    </row>
    <row r="56" spans="1:19" ht="14.15" customHeight="1" x14ac:dyDescent="0.2">
      <c r="A56" s="225"/>
      <c r="B56" s="226"/>
      <c r="C56" s="211" t="s">
        <v>58</v>
      </c>
      <c r="D56" s="211"/>
      <c r="E56" s="211"/>
      <c r="F56" s="211"/>
      <c r="G56" s="211"/>
      <c r="H56" s="211" t="s">
        <v>213</v>
      </c>
      <c r="I56" s="211"/>
      <c r="J56" s="211"/>
      <c r="K56" s="211"/>
      <c r="L56" s="211"/>
      <c r="M56" s="212"/>
      <c r="N56" s="212"/>
      <c r="O56" s="212"/>
      <c r="P56" s="212"/>
      <c r="Q56" s="212"/>
      <c r="R56" s="212"/>
      <c r="S56" s="212"/>
    </row>
    <row r="57" spans="1:19" x14ac:dyDescent="0.2">
      <c r="A57" s="227"/>
      <c r="B57" s="228"/>
      <c r="C57" s="64"/>
      <c r="D57" s="64"/>
      <c r="E57" s="65"/>
      <c r="F57" s="65"/>
      <c r="G57" s="65"/>
      <c r="H57" s="84">
        <f>INDEX($H$28:$L$28,1,MATCH(H53,$H$27:$L$27,0))</f>
        <v>0</v>
      </c>
      <c r="I57" s="84">
        <f t="shared" ref="I57:L57" si="21">INDEX($H$28:$L$28,1,MATCH(I53,$H$27:$L$27,0))</f>
        <v>0</v>
      </c>
      <c r="J57" s="84">
        <f t="shared" si="21"/>
        <v>0</v>
      </c>
      <c r="K57" s="84">
        <f>INDEX($H$28:$L$28,1,MATCH(K53,$H$27:$L$27,0))</f>
        <v>0</v>
      </c>
      <c r="L57" s="84">
        <f t="shared" si="21"/>
        <v>0</v>
      </c>
      <c r="M57" s="212"/>
      <c r="N57" s="212"/>
      <c r="O57" s="212"/>
      <c r="P57" s="212"/>
      <c r="Q57" s="212"/>
      <c r="R57" s="212"/>
      <c r="S57" s="212"/>
    </row>
    <row r="58" spans="1:19" x14ac:dyDescent="0.2">
      <c r="A58" s="213" t="s">
        <v>230</v>
      </c>
      <c r="B58" s="213"/>
      <c r="C58" s="211" t="s">
        <v>43</v>
      </c>
      <c r="D58" s="211"/>
      <c r="E58" s="211"/>
      <c r="F58" s="211"/>
      <c r="G58" s="211"/>
      <c r="H58" s="211" t="s">
        <v>50</v>
      </c>
      <c r="I58" s="211"/>
      <c r="J58" s="211"/>
      <c r="K58" s="211"/>
      <c r="L58" s="211"/>
      <c r="M58" s="211" t="s">
        <v>287</v>
      </c>
      <c r="N58" s="211"/>
      <c r="O58" s="211"/>
      <c r="P58" s="211"/>
      <c r="Q58" s="211"/>
      <c r="R58" s="212" t="s">
        <v>288</v>
      </c>
      <c r="S58" s="212"/>
    </row>
    <row r="59" spans="1:19" ht="77.150000000000006" customHeight="1" x14ac:dyDescent="0.2">
      <c r="A59" s="213" t="s">
        <v>235</v>
      </c>
      <c r="B59" s="213"/>
      <c r="C59" s="211" t="s">
        <v>289</v>
      </c>
      <c r="D59" s="211"/>
      <c r="E59" s="211"/>
      <c r="F59" s="211"/>
      <c r="G59" s="211"/>
      <c r="H59" s="211" t="s">
        <v>290</v>
      </c>
      <c r="I59" s="211"/>
      <c r="J59" s="211"/>
      <c r="K59" s="211"/>
      <c r="L59" s="211"/>
      <c r="M59" s="211" t="s">
        <v>291</v>
      </c>
      <c r="N59" s="211"/>
      <c r="O59" s="211"/>
      <c r="P59" s="211"/>
      <c r="Q59" s="211"/>
      <c r="R59" s="221" t="s">
        <v>292</v>
      </c>
      <c r="S59" s="221"/>
    </row>
    <row r="60" spans="1:19" x14ac:dyDescent="0.2">
      <c r="A60" s="213" t="s">
        <v>241</v>
      </c>
      <c r="B60" s="213"/>
      <c r="C60" s="211" t="s">
        <v>45</v>
      </c>
      <c r="D60" s="211"/>
      <c r="E60" s="211"/>
      <c r="F60" s="211"/>
      <c r="G60" s="211"/>
      <c r="H60" s="211" t="s">
        <v>293</v>
      </c>
      <c r="I60" s="211"/>
      <c r="J60" s="211"/>
      <c r="K60" s="211"/>
      <c r="L60" s="211"/>
      <c r="M60" s="211" t="s">
        <v>282</v>
      </c>
      <c r="N60" s="211"/>
      <c r="O60" s="211"/>
      <c r="P60" s="211"/>
      <c r="Q60" s="211"/>
      <c r="R60" s="212" t="s">
        <v>282</v>
      </c>
      <c r="S60" s="212"/>
    </row>
    <row r="61" spans="1:19" x14ac:dyDescent="0.2">
      <c r="A61" s="218" t="s">
        <v>221</v>
      </c>
      <c r="B61" s="53">
        <f>'MPS(input_RL_Opt1)'!$B$8</f>
        <v>2018</v>
      </c>
      <c r="C61" s="46"/>
      <c r="D61" s="46"/>
      <c r="E61" s="46"/>
      <c r="F61" s="46"/>
      <c r="G61" s="46"/>
      <c r="H61" s="66"/>
      <c r="I61" s="66"/>
      <c r="J61" s="66"/>
      <c r="K61" s="66"/>
      <c r="L61" s="66"/>
      <c r="M61" s="82" t="e">
        <f>C61*H61*C$57*H$55*H$57</f>
        <v>#N/A</v>
      </c>
      <c r="N61" s="82" t="e">
        <f>D61*I61*D$57*I$55*I$57</f>
        <v>#N/A</v>
      </c>
      <c r="O61" s="82" t="e">
        <f>E61*J61*E$57*J$55*J$57</f>
        <v>#N/A</v>
      </c>
      <c r="P61" s="82" t="e">
        <f>F61*K61*F$57*K$55*K$57</f>
        <v>#N/A</v>
      </c>
      <c r="Q61" s="82" t="e">
        <f>G61*L61*G$57*L$55*L$57</f>
        <v>#N/A</v>
      </c>
      <c r="R61" s="222">
        <f>SUMIF(M61:Q61,"&lt;&gt;#N/A")</f>
        <v>0</v>
      </c>
      <c r="S61" s="222"/>
    </row>
    <row r="62" spans="1:19" x14ac:dyDescent="0.2">
      <c r="A62" s="219"/>
      <c r="B62" s="53">
        <f>B61+1</f>
        <v>2019</v>
      </c>
      <c r="C62" s="46"/>
      <c r="D62" s="46"/>
      <c r="E62" s="46"/>
      <c r="F62" s="46"/>
      <c r="G62" s="46"/>
      <c r="H62" s="66"/>
      <c r="I62" s="66"/>
      <c r="J62" s="66"/>
      <c r="K62" s="66"/>
      <c r="L62" s="66"/>
      <c r="M62" s="82" t="e">
        <f t="shared" ref="M62:M72" si="22">C62*H62*C$57*H$55*H$57</f>
        <v>#N/A</v>
      </c>
      <c r="N62" s="82" t="e">
        <f t="shared" ref="N62:N72" si="23">D62*I62*D$57*I$55*I$57</f>
        <v>#N/A</v>
      </c>
      <c r="O62" s="82" t="e">
        <f t="shared" ref="O62:O72" si="24">E62*J62*E$57*J$55*J$57</f>
        <v>#N/A</v>
      </c>
      <c r="P62" s="82" t="e">
        <f t="shared" ref="P62:P72" si="25">F62*K62*F$57*K$55*K$57</f>
        <v>#N/A</v>
      </c>
      <c r="Q62" s="82" t="e">
        <f t="shared" ref="Q62:Q72" si="26">G62*L62*G$57*L$55*L$57</f>
        <v>#N/A</v>
      </c>
      <c r="R62" s="222">
        <f t="shared" ref="R62:R72" si="27">SUMIF(M62:Q62,"&lt;&gt;#N/A")</f>
        <v>0</v>
      </c>
      <c r="S62" s="222"/>
    </row>
    <row r="63" spans="1:19" x14ac:dyDescent="0.2">
      <c r="A63" s="219"/>
      <c r="B63" s="53">
        <f t="shared" ref="B63:B72" si="28">B62+1</f>
        <v>2020</v>
      </c>
      <c r="C63" s="46"/>
      <c r="D63" s="46"/>
      <c r="E63" s="46"/>
      <c r="F63" s="46"/>
      <c r="G63" s="46"/>
      <c r="H63" s="66"/>
      <c r="I63" s="66"/>
      <c r="J63" s="66"/>
      <c r="K63" s="66"/>
      <c r="L63" s="66"/>
      <c r="M63" s="82" t="e">
        <f t="shared" si="22"/>
        <v>#N/A</v>
      </c>
      <c r="N63" s="82" t="e">
        <f t="shared" si="23"/>
        <v>#N/A</v>
      </c>
      <c r="O63" s="82" t="e">
        <f t="shared" si="24"/>
        <v>#N/A</v>
      </c>
      <c r="P63" s="82" t="e">
        <f t="shared" si="25"/>
        <v>#N/A</v>
      </c>
      <c r="Q63" s="82" t="e">
        <f t="shared" si="26"/>
        <v>#N/A</v>
      </c>
      <c r="R63" s="222">
        <f t="shared" si="27"/>
        <v>0</v>
      </c>
      <c r="S63" s="222"/>
    </row>
    <row r="64" spans="1:19" x14ac:dyDescent="0.2">
      <c r="A64" s="219"/>
      <c r="B64" s="53">
        <f t="shared" si="28"/>
        <v>2021</v>
      </c>
      <c r="C64" s="46"/>
      <c r="D64" s="46"/>
      <c r="E64" s="46"/>
      <c r="F64" s="46"/>
      <c r="G64" s="46"/>
      <c r="H64" s="66"/>
      <c r="I64" s="66"/>
      <c r="J64" s="66"/>
      <c r="K64" s="66"/>
      <c r="L64" s="66"/>
      <c r="M64" s="82" t="e">
        <f t="shared" si="22"/>
        <v>#N/A</v>
      </c>
      <c r="N64" s="82" t="e">
        <f t="shared" si="23"/>
        <v>#N/A</v>
      </c>
      <c r="O64" s="82" t="e">
        <f t="shared" si="24"/>
        <v>#N/A</v>
      </c>
      <c r="P64" s="82" t="e">
        <f t="shared" si="25"/>
        <v>#N/A</v>
      </c>
      <c r="Q64" s="82" t="e">
        <f t="shared" si="26"/>
        <v>#N/A</v>
      </c>
      <c r="R64" s="222">
        <f t="shared" si="27"/>
        <v>0</v>
      </c>
      <c r="S64" s="222"/>
    </row>
    <row r="65" spans="1:24" x14ac:dyDescent="0.2">
      <c r="A65" s="219"/>
      <c r="B65" s="53">
        <f t="shared" si="28"/>
        <v>2022</v>
      </c>
      <c r="C65" s="46"/>
      <c r="D65" s="46"/>
      <c r="E65" s="46"/>
      <c r="F65" s="46"/>
      <c r="G65" s="46"/>
      <c r="H65" s="66"/>
      <c r="I65" s="66"/>
      <c r="J65" s="66"/>
      <c r="K65" s="66"/>
      <c r="L65" s="66"/>
      <c r="M65" s="82" t="e">
        <f t="shared" si="22"/>
        <v>#N/A</v>
      </c>
      <c r="N65" s="82" t="e">
        <f t="shared" si="23"/>
        <v>#N/A</v>
      </c>
      <c r="O65" s="82" t="e">
        <f t="shared" si="24"/>
        <v>#N/A</v>
      </c>
      <c r="P65" s="82" t="e">
        <f t="shared" si="25"/>
        <v>#N/A</v>
      </c>
      <c r="Q65" s="82" t="e">
        <f t="shared" si="26"/>
        <v>#N/A</v>
      </c>
      <c r="R65" s="222">
        <f t="shared" si="27"/>
        <v>0</v>
      </c>
      <c r="S65" s="222"/>
    </row>
    <row r="66" spans="1:24" x14ac:dyDescent="0.2">
      <c r="A66" s="219"/>
      <c r="B66" s="53">
        <f t="shared" si="28"/>
        <v>2023</v>
      </c>
      <c r="C66" s="46"/>
      <c r="D66" s="46"/>
      <c r="E66" s="46"/>
      <c r="F66" s="46"/>
      <c r="G66" s="46"/>
      <c r="H66" s="66"/>
      <c r="I66" s="66"/>
      <c r="J66" s="66"/>
      <c r="K66" s="66"/>
      <c r="L66" s="66"/>
      <c r="M66" s="82" t="e">
        <f t="shared" si="22"/>
        <v>#N/A</v>
      </c>
      <c r="N66" s="82" t="e">
        <f t="shared" si="23"/>
        <v>#N/A</v>
      </c>
      <c r="O66" s="82" t="e">
        <f t="shared" si="24"/>
        <v>#N/A</v>
      </c>
      <c r="P66" s="82" t="e">
        <f t="shared" si="25"/>
        <v>#N/A</v>
      </c>
      <c r="Q66" s="82" t="e">
        <f t="shared" si="26"/>
        <v>#N/A</v>
      </c>
      <c r="R66" s="222">
        <f t="shared" si="27"/>
        <v>0</v>
      </c>
      <c r="S66" s="222"/>
    </row>
    <row r="67" spans="1:24" x14ac:dyDescent="0.2">
      <c r="A67" s="219"/>
      <c r="B67" s="53">
        <f t="shared" si="28"/>
        <v>2024</v>
      </c>
      <c r="C67" s="46"/>
      <c r="D67" s="46"/>
      <c r="E67" s="46"/>
      <c r="F67" s="46"/>
      <c r="G67" s="46"/>
      <c r="H67" s="66"/>
      <c r="I67" s="66"/>
      <c r="J67" s="66"/>
      <c r="K67" s="66"/>
      <c r="L67" s="66"/>
      <c r="M67" s="82" t="e">
        <f t="shared" si="22"/>
        <v>#N/A</v>
      </c>
      <c r="N67" s="82" t="e">
        <f t="shared" si="23"/>
        <v>#N/A</v>
      </c>
      <c r="O67" s="82" t="e">
        <f t="shared" si="24"/>
        <v>#N/A</v>
      </c>
      <c r="P67" s="82" t="e">
        <f t="shared" si="25"/>
        <v>#N/A</v>
      </c>
      <c r="Q67" s="82" t="e">
        <f t="shared" si="26"/>
        <v>#N/A</v>
      </c>
      <c r="R67" s="222">
        <f t="shared" si="27"/>
        <v>0</v>
      </c>
      <c r="S67" s="222"/>
    </row>
    <row r="68" spans="1:24" x14ac:dyDescent="0.2">
      <c r="A68" s="219"/>
      <c r="B68" s="53">
        <f t="shared" si="28"/>
        <v>2025</v>
      </c>
      <c r="C68" s="46"/>
      <c r="D68" s="46"/>
      <c r="E68" s="46"/>
      <c r="F68" s="46"/>
      <c r="G68" s="46"/>
      <c r="H68" s="66"/>
      <c r="I68" s="66"/>
      <c r="J68" s="66"/>
      <c r="K68" s="66"/>
      <c r="L68" s="66"/>
      <c r="M68" s="82" t="e">
        <f t="shared" si="22"/>
        <v>#N/A</v>
      </c>
      <c r="N68" s="82" t="e">
        <f t="shared" si="23"/>
        <v>#N/A</v>
      </c>
      <c r="O68" s="82" t="e">
        <f t="shared" si="24"/>
        <v>#N/A</v>
      </c>
      <c r="P68" s="82" t="e">
        <f t="shared" si="25"/>
        <v>#N/A</v>
      </c>
      <c r="Q68" s="82" t="e">
        <f t="shared" si="26"/>
        <v>#N/A</v>
      </c>
      <c r="R68" s="222">
        <f t="shared" si="27"/>
        <v>0</v>
      </c>
      <c r="S68" s="222"/>
    </row>
    <row r="69" spans="1:24" x14ac:dyDescent="0.2">
      <c r="A69" s="219"/>
      <c r="B69" s="53">
        <f t="shared" si="28"/>
        <v>2026</v>
      </c>
      <c r="C69" s="46"/>
      <c r="D69" s="46"/>
      <c r="E69" s="46"/>
      <c r="F69" s="46"/>
      <c r="G69" s="46"/>
      <c r="H69" s="66"/>
      <c r="I69" s="66"/>
      <c r="J69" s="66"/>
      <c r="K69" s="66"/>
      <c r="L69" s="66"/>
      <c r="M69" s="82" t="e">
        <f t="shared" si="22"/>
        <v>#N/A</v>
      </c>
      <c r="N69" s="82" t="e">
        <f t="shared" si="23"/>
        <v>#N/A</v>
      </c>
      <c r="O69" s="82" t="e">
        <f t="shared" si="24"/>
        <v>#N/A</v>
      </c>
      <c r="P69" s="82" t="e">
        <f t="shared" si="25"/>
        <v>#N/A</v>
      </c>
      <c r="Q69" s="82" t="e">
        <f t="shared" si="26"/>
        <v>#N/A</v>
      </c>
      <c r="R69" s="222">
        <f t="shared" si="27"/>
        <v>0</v>
      </c>
      <c r="S69" s="222"/>
    </row>
    <row r="70" spans="1:24" x14ac:dyDescent="0.2">
      <c r="A70" s="219"/>
      <c r="B70" s="53">
        <f t="shared" si="28"/>
        <v>2027</v>
      </c>
      <c r="C70" s="46"/>
      <c r="D70" s="46"/>
      <c r="E70" s="46"/>
      <c r="F70" s="46"/>
      <c r="G70" s="46"/>
      <c r="H70" s="66"/>
      <c r="I70" s="66"/>
      <c r="J70" s="66"/>
      <c r="K70" s="66"/>
      <c r="L70" s="66"/>
      <c r="M70" s="82" t="e">
        <f t="shared" si="22"/>
        <v>#N/A</v>
      </c>
      <c r="N70" s="82" t="e">
        <f t="shared" si="23"/>
        <v>#N/A</v>
      </c>
      <c r="O70" s="82" t="e">
        <f t="shared" si="24"/>
        <v>#N/A</v>
      </c>
      <c r="P70" s="82" t="e">
        <f t="shared" si="25"/>
        <v>#N/A</v>
      </c>
      <c r="Q70" s="82" t="e">
        <f t="shared" si="26"/>
        <v>#N/A</v>
      </c>
      <c r="R70" s="222">
        <f t="shared" si="27"/>
        <v>0</v>
      </c>
      <c r="S70" s="222"/>
    </row>
    <row r="71" spans="1:24" x14ac:dyDescent="0.2">
      <c r="A71" s="219"/>
      <c r="B71" s="53">
        <f t="shared" si="28"/>
        <v>2028</v>
      </c>
      <c r="C71" s="46"/>
      <c r="D71" s="46"/>
      <c r="E71" s="46"/>
      <c r="F71" s="46"/>
      <c r="G71" s="46"/>
      <c r="H71" s="66"/>
      <c r="I71" s="66"/>
      <c r="J71" s="66"/>
      <c r="K71" s="66"/>
      <c r="L71" s="66"/>
      <c r="M71" s="82" t="e">
        <f t="shared" si="22"/>
        <v>#N/A</v>
      </c>
      <c r="N71" s="82" t="e">
        <f t="shared" si="23"/>
        <v>#N/A</v>
      </c>
      <c r="O71" s="82" t="e">
        <f t="shared" si="24"/>
        <v>#N/A</v>
      </c>
      <c r="P71" s="82" t="e">
        <f t="shared" si="25"/>
        <v>#N/A</v>
      </c>
      <c r="Q71" s="82" t="e">
        <f t="shared" si="26"/>
        <v>#N/A</v>
      </c>
      <c r="R71" s="222">
        <f t="shared" si="27"/>
        <v>0</v>
      </c>
      <c r="S71" s="222"/>
    </row>
    <row r="72" spans="1:24" x14ac:dyDescent="0.2">
      <c r="A72" s="220"/>
      <c r="B72" s="53">
        <f t="shared" si="28"/>
        <v>2029</v>
      </c>
      <c r="C72" s="46"/>
      <c r="D72" s="46"/>
      <c r="E72" s="46"/>
      <c r="F72" s="46"/>
      <c r="G72" s="46"/>
      <c r="H72" s="66"/>
      <c r="I72" s="66"/>
      <c r="J72" s="66"/>
      <c r="K72" s="66"/>
      <c r="L72" s="66"/>
      <c r="M72" s="82" t="e">
        <f t="shared" si="22"/>
        <v>#N/A</v>
      </c>
      <c r="N72" s="82" t="e">
        <f t="shared" si="23"/>
        <v>#N/A</v>
      </c>
      <c r="O72" s="82" t="e">
        <f t="shared" si="24"/>
        <v>#N/A</v>
      </c>
      <c r="P72" s="82" t="e">
        <f t="shared" si="25"/>
        <v>#N/A</v>
      </c>
      <c r="Q72" s="82" t="e">
        <f t="shared" si="26"/>
        <v>#N/A</v>
      </c>
      <c r="R72" s="222">
        <f t="shared" si="27"/>
        <v>0</v>
      </c>
      <c r="S72" s="222"/>
    </row>
    <row r="73" spans="1:24" x14ac:dyDescent="0.2">
      <c r="A73" s="175"/>
      <c r="B73" s="58" t="s">
        <v>259</v>
      </c>
      <c r="C73" s="76" t="s">
        <v>26</v>
      </c>
      <c r="D73" s="76" t="s">
        <v>26</v>
      </c>
      <c r="E73" s="76" t="s">
        <v>26</v>
      </c>
      <c r="F73" s="76" t="s">
        <v>26</v>
      </c>
      <c r="G73" s="76" t="s">
        <v>26</v>
      </c>
      <c r="H73" s="76" t="s">
        <v>26</v>
      </c>
      <c r="I73" s="76" t="s">
        <v>26</v>
      </c>
      <c r="J73" s="76" t="s">
        <v>26</v>
      </c>
      <c r="K73" s="76" t="s">
        <v>26</v>
      </c>
      <c r="L73" s="76" t="s">
        <v>26</v>
      </c>
      <c r="M73" s="76" t="s">
        <v>26</v>
      </c>
      <c r="N73" s="76" t="s">
        <v>26</v>
      </c>
      <c r="O73" s="76" t="s">
        <v>26</v>
      </c>
      <c r="P73" s="76" t="s">
        <v>26</v>
      </c>
      <c r="Q73" s="76" t="s">
        <v>26</v>
      </c>
      <c r="R73" s="222">
        <f>SUM(R61:R72)</f>
        <v>0</v>
      </c>
      <c r="S73" s="222"/>
    </row>
    <row r="74" spans="1:24" x14ac:dyDescent="0.2">
      <c r="A74" s="85"/>
    </row>
    <row r="76" spans="1:24" x14ac:dyDescent="0.2">
      <c r="A76" s="74" t="s">
        <v>294</v>
      </c>
    </row>
    <row r="77" spans="1:24" x14ac:dyDescent="0.2">
      <c r="A77" s="213" t="s">
        <v>230</v>
      </c>
      <c r="B77" s="213"/>
      <c r="C77" s="211" t="s">
        <v>73</v>
      </c>
      <c r="D77" s="211"/>
      <c r="E77" s="211" t="s">
        <v>78</v>
      </c>
      <c r="F77" s="211"/>
      <c r="G77" s="211" t="s">
        <v>109</v>
      </c>
      <c r="H77" s="211"/>
      <c r="I77" s="211"/>
      <c r="J77" s="211" t="s">
        <v>92</v>
      </c>
      <c r="K77" s="211"/>
      <c r="L77" s="211"/>
      <c r="M77" s="211" t="s">
        <v>98</v>
      </c>
      <c r="N77" s="211"/>
      <c r="O77" s="211"/>
      <c r="P77" s="211" t="s">
        <v>101</v>
      </c>
      <c r="Q77" s="211"/>
      <c r="R77" s="211"/>
      <c r="S77" s="211" t="s">
        <v>106</v>
      </c>
      <c r="T77" s="211"/>
      <c r="U77" s="211"/>
    </row>
    <row r="78" spans="1:24" ht="46.5" customHeight="1" x14ac:dyDescent="0.2">
      <c r="A78" s="213" t="s">
        <v>235</v>
      </c>
      <c r="B78" s="213"/>
      <c r="C78" s="212" t="s">
        <v>74</v>
      </c>
      <c r="D78" s="212"/>
      <c r="E78" s="212" t="s">
        <v>79</v>
      </c>
      <c r="F78" s="212"/>
      <c r="G78" s="211" t="s">
        <v>110</v>
      </c>
      <c r="H78" s="211"/>
      <c r="I78" s="211"/>
      <c r="J78" s="211" t="s">
        <v>93</v>
      </c>
      <c r="K78" s="211"/>
      <c r="L78" s="211"/>
      <c r="M78" s="211" t="s">
        <v>99</v>
      </c>
      <c r="N78" s="211"/>
      <c r="O78" s="211"/>
      <c r="P78" s="211" t="s">
        <v>102</v>
      </c>
      <c r="Q78" s="211"/>
      <c r="R78" s="211"/>
      <c r="S78" s="211" t="s">
        <v>107</v>
      </c>
      <c r="T78" s="211"/>
      <c r="U78" s="211"/>
    </row>
    <row r="79" spans="1:24" ht="14.15" customHeight="1" x14ac:dyDescent="0.2">
      <c r="A79" s="213" t="s">
        <v>241</v>
      </c>
      <c r="B79" s="213"/>
      <c r="C79" s="212" t="s">
        <v>75</v>
      </c>
      <c r="D79" s="212"/>
      <c r="E79" s="212" t="s">
        <v>75</v>
      </c>
      <c r="F79" s="212"/>
      <c r="G79" s="211" t="s">
        <v>111</v>
      </c>
      <c r="H79" s="211"/>
      <c r="I79" s="211"/>
      <c r="J79" s="211" t="s">
        <v>94</v>
      </c>
      <c r="K79" s="211"/>
      <c r="L79" s="211"/>
      <c r="M79" s="211" t="s">
        <v>94</v>
      </c>
      <c r="N79" s="211"/>
      <c r="O79" s="211"/>
      <c r="P79" s="211" t="s">
        <v>103</v>
      </c>
      <c r="Q79" s="211"/>
      <c r="R79" s="211"/>
      <c r="S79" s="211" t="s">
        <v>103</v>
      </c>
      <c r="T79" s="211"/>
      <c r="U79" s="211"/>
      <c r="W79" s="86"/>
      <c r="X79" s="86"/>
    </row>
    <row r="80" spans="1:24" ht="44.15" customHeight="1" x14ac:dyDescent="0.2">
      <c r="A80" s="213" t="s">
        <v>295</v>
      </c>
      <c r="B80" s="213"/>
      <c r="C80" s="87" t="s">
        <v>296</v>
      </c>
      <c r="D80" s="87" t="s">
        <v>297</v>
      </c>
      <c r="E80" s="87" t="s">
        <v>296</v>
      </c>
      <c r="F80" s="87" t="s">
        <v>297</v>
      </c>
      <c r="G80" s="67" t="s">
        <v>438</v>
      </c>
      <c r="H80" s="67" t="s">
        <v>438</v>
      </c>
      <c r="I80" s="68"/>
      <c r="J80" s="88" t="str">
        <f>G80</f>
        <v>Beans &amp; pulses</v>
      </c>
      <c r="K80" s="88" t="str">
        <f>H80</f>
        <v>Beans &amp; pulses</v>
      </c>
      <c r="L80" s="88">
        <f>I80</f>
        <v>0</v>
      </c>
      <c r="M80" s="88" t="str">
        <f>G80</f>
        <v>Beans &amp; pulses</v>
      </c>
      <c r="N80" s="88" t="str">
        <f>H80</f>
        <v>Beans &amp; pulses</v>
      </c>
      <c r="O80" s="88">
        <f>L80</f>
        <v>0</v>
      </c>
      <c r="P80" s="88" t="str">
        <f>G80</f>
        <v>Beans &amp; pulses</v>
      </c>
      <c r="Q80" s="88" t="str">
        <f>H80</f>
        <v>Beans &amp; pulses</v>
      </c>
      <c r="R80" s="88">
        <f>O80</f>
        <v>0</v>
      </c>
      <c r="S80" s="88" t="str">
        <f>G80</f>
        <v>Beans &amp; pulses</v>
      </c>
      <c r="T80" s="89" t="str">
        <f>H80</f>
        <v>Beans &amp; pulses</v>
      </c>
      <c r="U80" s="88">
        <f>R80</f>
        <v>0</v>
      </c>
    </row>
    <row r="81" spans="1:32" x14ac:dyDescent="0.2">
      <c r="A81" s="213" t="s">
        <v>274</v>
      </c>
      <c r="B81" s="213"/>
      <c r="C81" s="69"/>
      <c r="D81" s="69"/>
      <c r="E81" s="69"/>
      <c r="F81" s="69"/>
      <c r="G81" s="69">
        <f>1</f>
        <v>1</v>
      </c>
      <c r="H81" s="69"/>
      <c r="I81" s="69"/>
      <c r="J81" s="69">
        <f>(G89*1.13+0.85)/G89</f>
        <v>1.8640875723292165</v>
      </c>
      <c r="K81" s="69"/>
      <c r="L81" s="69"/>
      <c r="M81" s="69">
        <f>0.19*(G89*1.13+0.85+G89)/G89</f>
        <v>0.54417663874255118</v>
      </c>
      <c r="N81" s="69"/>
      <c r="O81" s="69"/>
      <c r="P81" s="70">
        <v>8.0000000000000002E-3</v>
      </c>
      <c r="Q81" s="70"/>
      <c r="R81" s="70"/>
      <c r="S81" s="70">
        <v>8.0000000000000002E-3</v>
      </c>
      <c r="T81" s="70"/>
      <c r="U81" s="70"/>
      <c r="W81" s="86"/>
      <c r="X81" s="86"/>
    </row>
    <row r="82" spans="1:32" x14ac:dyDescent="0.2">
      <c r="A82" s="74"/>
    </row>
    <row r="83" spans="1:32" x14ac:dyDescent="0.2">
      <c r="A83" s="74"/>
    </row>
    <row r="84" spans="1:32" ht="16" x14ac:dyDescent="0.2">
      <c r="A84" s="213" t="s">
        <v>230</v>
      </c>
      <c r="B84" s="213"/>
      <c r="C84" s="211" t="s">
        <v>64</v>
      </c>
      <c r="D84" s="211"/>
      <c r="E84" s="211" t="s">
        <v>69</v>
      </c>
      <c r="F84" s="211"/>
      <c r="G84" s="211" t="s">
        <v>82</v>
      </c>
      <c r="H84" s="211"/>
      <c r="I84" s="211"/>
      <c r="J84" s="211"/>
      <c r="K84" s="211"/>
      <c r="L84" s="211"/>
      <c r="M84" s="211" t="s">
        <v>88</v>
      </c>
      <c r="N84" s="211"/>
      <c r="O84" s="211"/>
      <c r="P84" s="211"/>
      <c r="Q84" s="211"/>
      <c r="R84" s="211"/>
      <c r="S84" s="212" t="s">
        <v>298</v>
      </c>
      <c r="T84" s="212"/>
      <c r="U84" s="212" t="s">
        <v>299</v>
      </c>
      <c r="V84" s="212"/>
      <c r="W84" s="212" t="s">
        <v>300</v>
      </c>
      <c r="X84" s="212"/>
      <c r="Y84" s="49" t="s">
        <v>115</v>
      </c>
      <c r="Z84" s="49" t="s">
        <v>119</v>
      </c>
      <c r="AA84" s="49" t="s">
        <v>123</v>
      </c>
      <c r="AB84" s="49" t="s">
        <v>301</v>
      </c>
      <c r="AC84" s="49" t="s">
        <v>302</v>
      </c>
      <c r="AD84" s="49" t="s">
        <v>303</v>
      </c>
      <c r="AE84" s="49" t="s">
        <v>304</v>
      </c>
      <c r="AF84" s="49" t="s">
        <v>305</v>
      </c>
    </row>
    <row r="85" spans="1:32" ht="240.65" customHeight="1" x14ac:dyDescent="0.2">
      <c r="A85" s="213" t="s">
        <v>235</v>
      </c>
      <c r="B85" s="213"/>
      <c r="C85" s="211" t="s">
        <v>306</v>
      </c>
      <c r="D85" s="211"/>
      <c r="E85" s="211" t="s">
        <v>70</v>
      </c>
      <c r="F85" s="211"/>
      <c r="G85" s="211" t="s">
        <v>307</v>
      </c>
      <c r="H85" s="211"/>
      <c r="I85" s="211"/>
      <c r="J85" s="211"/>
      <c r="K85" s="211"/>
      <c r="L85" s="211"/>
      <c r="M85" s="211" t="s">
        <v>89</v>
      </c>
      <c r="N85" s="211"/>
      <c r="O85" s="211"/>
      <c r="P85" s="211"/>
      <c r="Q85" s="211"/>
      <c r="R85" s="211"/>
      <c r="S85" s="212" t="s">
        <v>308</v>
      </c>
      <c r="T85" s="212"/>
      <c r="U85" s="212" t="s">
        <v>309</v>
      </c>
      <c r="V85" s="212"/>
      <c r="W85" s="212" t="s">
        <v>310</v>
      </c>
      <c r="X85" s="212"/>
      <c r="Y85" s="90" t="s">
        <v>116</v>
      </c>
      <c r="Z85" s="91" t="s">
        <v>120</v>
      </c>
      <c r="AA85" s="29" t="s">
        <v>124</v>
      </c>
      <c r="AB85" s="49" t="s">
        <v>311</v>
      </c>
      <c r="AC85" s="49" t="s">
        <v>312</v>
      </c>
      <c r="AD85" s="49" t="s">
        <v>313</v>
      </c>
      <c r="AE85" s="49" t="s">
        <v>314</v>
      </c>
      <c r="AF85" s="49" t="s">
        <v>315</v>
      </c>
    </row>
    <row r="86" spans="1:32" ht="14.15" customHeight="1" x14ac:dyDescent="0.2">
      <c r="A86" s="213" t="s">
        <v>241</v>
      </c>
      <c r="B86" s="213"/>
      <c r="C86" s="211" t="s">
        <v>66</v>
      </c>
      <c r="D86" s="211"/>
      <c r="E86" s="211" t="s">
        <v>66</v>
      </c>
      <c r="F86" s="211"/>
      <c r="G86" s="211" t="s">
        <v>84</v>
      </c>
      <c r="H86" s="211"/>
      <c r="I86" s="211"/>
      <c r="J86" s="211"/>
      <c r="K86" s="211"/>
      <c r="L86" s="211"/>
      <c r="M86" s="211" t="s">
        <v>27</v>
      </c>
      <c r="N86" s="211"/>
      <c r="O86" s="211"/>
      <c r="P86" s="211"/>
      <c r="Q86" s="211"/>
      <c r="R86" s="211"/>
      <c r="S86" s="212" t="s">
        <v>316</v>
      </c>
      <c r="T86" s="212"/>
      <c r="U86" s="212" t="s">
        <v>316</v>
      </c>
      <c r="V86" s="212"/>
      <c r="W86" s="212" t="s">
        <v>316</v>
      </c>
      <c r="X86" s="212"/>
      <c r="Y86" s="49" t="s">
        <v>66</v>
      </c>
      <c r="Z86" s="49" t="s">
        <v>66</v>
      </c>
      <c r="AA86" s="49" t="s">
        <v>66</v>
      </c>
      <c r="AB86" s="49" t="s">
        <v>317</v>
      </c>
      <c r="AC86" s="49" t="s">
        <v>317</v>
      </c>
      <c r="AD86" s="49" t="s">
        <v>282</v>
      </c>
      <c r="AE86" s="49" t="s">
        <v>282</v>
      </c>
      <c r="AF86" s="49" t="s">
        <v>317</v>
      </c>
    </row>
    <row r="87" spans="1:32" ht="28.4" customHeight="1" x14ac:dyDescent="0.2">
      <c r="A87" s="213" t="s">
        <v>318</v>
      </c>
      <c r="B87" s="213"/>
      <c r="C87" s="87" t="s">
        <v>296</v>
      </c>
      <c r="D87" s="87" t="s">
        <v>297</v>
      </c>
      <c r="E87" s="87" t="s">
        <v>296</v>
      </c>
      <c r="F87" s="87" t="s">
        <v>297</v>
      </c>
      <c r="G87" s="211" t="s">
        <v>296</v>
      </c>
      <c r="H87" s="211"/>
      <c r="I87" s="211"/>
      <c r="J87" s="211" t="s">
        <v>297</v>
      </c>
      <c r="K87" s="211"/>
      <c r="L87" s="211"/>
      <c r="M87" s="211" t="s">
        <v>296</v>
      </c>
      <c r="N87" s="211"/>
      <c r="O87" s="211"/>
      <c r="P87" s="211" t="s">
        <v>297</v>
      </c>
      <c r="Q87" s="211"/>
      <c r="R87" s="211"/>
      <c r="S87" s="87" t="s">
        <v>296</v>
      </c>
      <c r="T87" s="87" t="s">
        <v>297</v>
      </c>
      <c r="U87" s="87" t="s">
        <v>296</v>
      </c>
      <c r="V87" s="87" t="s">
        <v>297</v>
      </c>
      <c r="W87" s="87" t="s">
        <v>296</v>
      </c>
      <c r="X87" s="87" t="s">
        <v>297</v>
      </c>
      <c r="Y87" s="49" t="s">
        <v>319</v>
      </c>
      <c r="Z87" s="49" t="s">
        <v>319</v>
      </c>
      <c r="AA87" s="49" t="s">
        <v>319</v>
      </c>
      <c r="AB87" s="49" t="s">
        <v>319</v>
      </c>
      <c r="AC87" s="49" t="s">
        <v>319</v>
      </c>
      <c r="AD87" s="49" t="s">
        <v>319</v>
      </c>
      <c r="AE87" s="49" t="s">
        <v>319</v>
      </c>
      <c r="AF87" s="49" t="s">
        <v>319</v>
      </c>
    </row>
    <row r="88" spans="1:32" ht="28" x14ac:dyDescent="0.2">
      <c r="A88" s="213" t="s">
        <v>320</v>
      </c>
      <c r="B88" s="213"/>
      <c r="C88" s="49" t="s">
        <v>319</v>
      </c>
      <c r="D88" s="49" t="s">
        <v>319</v>
      </c>
      <c r="E88" s="49" t="s">
        <v>319</v>
      </c>
      <c r="F88" s="49" t="s">
        <v>319</v>
      </c>
      <c r="G88" s="88" t="str">
        <f>G80</f>
        <v>Beans &amp; pulses</v>
      </c>
      <c r="H88" s="88" t="str">
        <f>H80</f>
        <v>Beans &amp; pulses</v>
      </c>
      <c r="I88" s="88">
        <f>I80</f>
        <v>0</v>
      </c>
      <c r="J88" s="88" t="str">
        <f>G80</f>
        <v>Beans &amp; pulses</v>
      </c>
      <c r="K88" s="88" t="str">
        <f>H80</f>
        <v>Beans &amp; pulses</v>
      </c>
      <c r="L88" s="88">
        <f>I80</f>
        <v>0</v>
      </c>
      <c r="M88" s="88" t="str">
        <f>G80</f>
        <v>Beans &amp; pulses</v>
      </c>
      <c r="N88" s="88" t="str">
        <f>H80</f>
        <v>Beans &amp; pulses</v>
      </c>
      <c r="O88" s="88">
        <f>I80</f>
        <v>0</v>
      </c>
      <c r="P88" s="88" t="str">
        <f>G80</f>
        <v>Beans &amp; pulses</v>
      </c>
      <c r="Q88" s="88" t="str">
        <f>H80</f>
        <v>Beans &amp; pulses</v>
      </c>
      <c r="R88" s="88">
        <f>I80</f>
        <v>0</v>
      </c>
      <c r="S88" s="87" t="s">
        <v>319</v>
      </c>
      <c r="T88" s="87" t="s">
        <v>319</v>
      </c>
      <c r="U88" s="87" t="s">
        <v>319</v>
      </c>
      <c r="V88" s="87" t="s">
        <v>319</v>
      </c>
      <c r="W88" s="87" t="s">
        <v>319</v>
      </c>
      <c r="X88" s="87" t="s">
        <v>319</v>
      </c>
      <c r="Y88" s="49" t="s">
        <v>319</v>
      </c>
      <c r="Z88" s="49" t="s">
        <v>319</v>
      </c>
      <c r="AA88" s="49" t="s">
        <v>319</v>
      </c>
      <c r="AB88" s="49" t="s">
        <v>319</v>
      </c>
      <c r="AC88" s="49" t="s">
        <v>319</v>
      </c>
      <c r="AD88" s="49" t="s">
        <v>319</v>
      </c>
      <c r="AE88" s="49" t="s">
        <v>319</v>
      </c>
      <c r="AF88" s="49" t="s">
        <v>319</v>
      </c>
    </row>
    <row r="89" spans="1:32" x14ac:dyDescent="0.2">
      <c r="A89" s="218" t="s">
        <v>221</v>
      </c>
      <c r="B89" s="53">
        <f>'MPS(input_RL_Opt1)'!$B$8</f>
        <v>2018</v>
      </c>
      <c r="C89" s="71"/>
      <c r="D89" s="71"/>
      <c r="E89" s="71"/>
      <c r="F89" s="71"/>
      <c r="G89" s="71">
        <v>1.1578999999999999</v>
      </c>
      <c r="H89" s="71"/>
      <c r="I89" s="71"/>
      <c r="J89" s="71">
        <f>G89</f>
        <v>1.1578999999999999</v>
      </c>
      <c r="K89" s="71"/>
      <c r="L89" s="71"/>
      <c r="M89" s="71">
        <v>0</v>
      </c>
      <c r="N89" s="71"/>
      <c r="O89" s="71"/>
      <c r="P89" s="71">
        <v>0</v>
      </c>
      <c r="Q89" s="71"/>
      <c r="R89" s="71"/>
      <c r="S89" s="92">
        <f>C89*C$81</f>
        <v>0</v>
      </c>
      <c r="T89" s="92">
        <f t="shared" ref="T89:T100" si="29">D89*D$81</f>
        <v>0</v>
      </c>
      <c r="U89" s="92">
        <f t="shared" ref="U89:U100" si="30">E89*E$81</f>
        <v>0</v>
      </c>
      <c r="V89" s="92">
        <f t="shared" ref="V89:V100" si="31">F89*F$81</f>
        <v>0</v>
      </c>
      <c r="W89" s="92">
        <f>G89*M89*G$81*(J$81*P$81+M$81*S$81)+H89*N89*H$81*(K$81*Q$81+N$81*T$81)+I89*O89*I$81*(L$81*R$81+O$81*U$81)</f>
        <v>0</v>
      </c>
      <c r="X89" s="92">
        <f>J89*P89*G$81*(J$81*P$81+M$81*S$81)+K89*Q89*H$81*(K$81*Q$81+N$81*T$81)+L89*R89*I$81*(L$81*R$81+O$81*U$81)</f>
        <v>0</v>
      </c>
      <c r="Y89" s="72"/>
      <c r="Z89" s="72"/>
      <c r="AA89" s="72"/>
      <c r="AB89" s="93">
        <f>SUM(S89,U89,W89)*'MPS(calc_process_Option1)'!E$94*(44/28)*'MPS(calc_process_Option1)'!E$104+SUM(T89,V89,X89)*'MPS(calc_process_Option1)'!E$95*(44/28)*'MPS(calc_process_Option1)'!E$104</f>
        <v>0</v>
      </c>
      <c r="AC89" s="93">
        <f>((SUM(S89:T89)*'MPS(calc_process_Option1)'!E$96+SUM(U89:V89)*'MPS(calc_process_Option1)'!E$97)*'MPS(calc_process_Option1)'!E$98+SUM(S89:X89)*'MPS(calc_process_Option1)'!E$99*'MPS(calc_process_Option1)'!E$100)*44/28*'MPS(calc_process_Option1)'!E$104</f>
        <v>0</v>
      </c>
      <c r="AD89" s="93">
        <f>(Y89*'MPS(calc_process_Option1)'!E$101+'MPS(input_PJ_Opt1)'!Z89*'MPS(calc_process_Option1)'!E$102)*(44/12)</f>
        <v>0</v>
      </c>
      <c r="AE89" s="93">
        <f>AA89*'MPS(calc_process_Option1)'!E$103*(44/12)</f>
        <v>0</v>
      </c>
      <c r="AF89" s="93">
        <f>SUM(AB89:AE89)</f>
        <v>0</v>
      </c>
    </row>
    <row r="90" spans="1:32" x14ac:dyDescent="0.2">
      <c r="A90" s="219"/>
      <c r="B90" s="53">
        <f>B89+1</f>
        <v>2019</v>
      </c>
      <c r="C90" s="71"/>
      <c r="D90" s="71"/>
      <c r="E90" s="71"/>
      <c r="F90" s="71"/>
      <c r="G90" s="71">
        <f>G89</f>
        <v>1.1578999999999999</v>
      </c>
      <c r="H90" s="71"/>
      <c r="I90" s="71"/>
      <c r="J90" s="71">
        <f>J89</f>
        <v>1.1578999999999999</v>
      </c>
      <c r="K90" s="71"/>
      <c r="L90" s="71"/>
      <c r="M90" s="71">
        <v>0</v>
      </c>
      <c r="N90" s="71"/>
      <c r="O90" s="71"/>
      <c r="P90" s="71">
        <f>P89</f>
        <v>0</v>
      </c>
      <c r="Q90" s="71"/>
      <c r="R90" s="71"/>
      <c r="S90" s="92">
        <f>C90*C$81</f>
        <v>0</v>
      </c>
      <c r="T90" s="92">
        <f t="shared" si="29"/>
        <v>0</v>
      </c>
      <c r="U90" s="92">
        <f t="shared" si="30"/>
        <v>0</v>
      </c>
      <c r="V90" s="92">
        <f t="shared" si="31"/>
        <v>0</v>
      </c>
      <c r="W90" s="92">
        <f t="shared" ref="W90:W99" si="32">G90*M90*G$81*(J$81*P$81+M$81*S$81)+H90*N90*H$81*(K$81*Q$81+N$81*T$81)+I90*O90*I$81*(L$81*R$81+O$81*U$81)</f>
        <v>0</v>
      </c>
      <c r="X90" s="92">
        <f t="shared" ref="X90:X99" si="33">J90*P90*G$81*(J$81*P$81+M$81*S$81)+K90*Q90*H$81*(K$81*Q$81+N$81*T$81)+L90*R90*I$81*(L$81*R$81+O$81*U$81)</f>
        <v>0</v>
      </c>
      <c r="Y90" s="72"/>
      <c r="Z90" s="72"/>
      <c r="AA90" s="72"/>
      <c r="AB90" s="93">
        <f>SUM(S90,U90,W90)*'MPS(calc_process_Option1)'!E$94*(44/28)*'MPS(calc_process_Option1)'!E$104+SUM(T90,V90,X90)*'MPS(calc_process_Option1)'!E$95*(44/28)*'MPS(calc_process_Option1)'!E$104</f>
        <v>0</v>
      </c>
      <c r="AC90" s="93">
        <f>((SUM(S90:T90)*'MPS(calc_process_Option1)'!E$96+SUM(U90:V90)*'MPS(calc_process_Option1)'!E$97)*'MPS(calc_process_Option1)'!E$98+SUM(S90:X90)*'MPS(calc_process_Option1)'!E$99*'MPS(calc_process_Option1)'!E$100)*44/28*'MPS(calc_process_Option1)'!E$104</f>
        <v>0</v>
      </c>
      <c r="AD90" s="93">
        <f>(Y90*'MPS(calc_process_Option1)'!E$101+'MPS(input_PJ_Opt1)'!Z90*'MPS(calc_process_Option1)'!E$102)*(44/12)</f>
        <v>0</v>
      </c>
      <c r="AE90" s="93">
        <f>AA90*'MPS(calc_process_Option1)'!E$103*(44/12)</f>
        <v>0</v>
      </c>
      <c r="AF90" s="93">
        <f t="shared" ref="AF90:AF100" si="34">SUM(AB90:AE90)</f>
        <v>0</v>
      </c>
    </row>
    <row r="91" spans="1:32" x14ac:dyDescent="0.2">
      <c r="A91" s="219"/>
      <c r="B91" s="53">
        <f t="shared" ref="B91:B100" si="35">B90+1</f>
        <v>2020</v>
      </c>
      <c r="C91" s="71"/>
      <c r="D91" s="71"/>
      <c r="E91" s="71"/>
      <c r="F91" s="71"/>
      <c r="G91" s="71">
        <f t="shared" ref="G91:G100" si="36">G90</f>
        <v>1.1578999999999999</v>
      </c>
      <c r="H91" s="71"/>
      <c r="I91" s="71"/>
      <c r="J91" s="71">
        <f t="shared" ref="J91:J100" si="37">J90</f>
        <v>1.1578999999999999</v>
      </c>
      <c r="K91" s="71"/>
      <c r="L91" s="71"/>
      <c r="M91" s="71">
        <v>4</v>
      </c>
      <c r="N91" s="71"/>
      <c r="O91" s="71"/>
      <c r="P91" s="71">
        <v>0.4</v>
      </c>
      <c r="Q91" s="71"/>
      <c r="R91" s="71"/>
      <c r="S91" s="92">
        <f t="shared" ref="S91:S100" si="38">C91*C$81</f>
        <v>0</v>
      </c>
      <c r="T91" s="92">
        <f t="shared" si="29"/>
        <v>0</v>
      </c>
      <c r="U91" s="92">
        <f t="shared" si="30"/>
        <v>0</v>
      </c>
      <c r="V91" s="92">
        <f t="shared" si="31"/>
        <v>0</v>
      </c>
      <c r="W91" s="92">
        <f t="shared" si="32"/>
        <v>8.923293216E-2</v>
      </c>
      <c r="X91" s="92">
        <f t="shared" si="33"/>
        <v>8.9232932160000014E-3</v>
      </c>
      <c r="Y91" s="72"/>
      <c r="Z91" s="72"/>
      <c r="AA91" s="72"/>
      <c r="AB91" s="93">
        <f>SUM(S91,U91,W91)*'MPS(calc_process_Option1)'!E$94*(44/28)*'MPS(calc_process_Option1)'!E$104+SUM(T91,V91,X91)*'MPS(calc_process_Option1)'!E$95*(44/28)*'MPS(calc_process_Option1)'!E$104</f>
        <v>0.43040102595584911</v>
      </c>
      <c r="AC91" s="93">
        <f>((SUM(S91:T91)*'MPS(calc_process_Option1)'!E$96+SUM(U91:V91)*'MPS(calc_process_Option1)'!E$97)*'MPS(calc_process_Option1)'!E$98+SUM(S91:X91)*'MPS(calc_process_Option1)'!E$99*'MPS(calc_process_Option1)'!E$100)*44/28*'MPS(calc_process_Option1)'!E$104</f>
        <v>0.10342160575152684</v>
      </c>
      <c r="AD91" s="93">
        <f>(Y91*'MPS(calc_process_Option1)'!E$101+'MPS(input_PJ_Opt1)'!Z91*'MPS(calc_process_Option1)'!E$102)*(44/12)</f>
        <v>0</v>
      </c>
      <c r="AE91" s="93">
        <f>AA91*'MPS(calc_process_Option1)'!E$103*(44/12)</f>
        <v>0</v>
      </c>
      <c r="AF91" s="93">
        <f t="shared" si="34"/>
        <v>0.53382263170737598</v>
      </c>
    </row>
    <row r="92" spans="1:32" x14ac:dyDescent="0.2">
      <c r="A92" s="219"/>
      <c r="B92" s="53">
        <f t="shared" si="35"/>
        <v>2021</v>
      </c>
      <c r="C92" s="71"/>
      <c r="D92" s="71"/>
      <c r="E92" s="71"/>
      <c r="F92" s="71"/>
      <c r="G92" s="71">
        <f t="shared" si="36"/>
        <v>1.1578999999999999</v>
      </c>
      <c r="H92" s="71"/>
      <c r="I92" s="71"/>
      <c r="J92" s="71">
        <f t="shared" si="37"/>
        <v>1.1578999999999999</v>
      </c>
      <c r="K92" s="71"/>
      <c r="L92" s="71"/>
      <c r="M92" s="71">
        <v>0</v>
      </c>
      <c r="N92" s="71"/>
      <c r="O92" s="71"/>
      <c r="P92" s="71">
        <f>200*2</f>
        <v>400</v>
      </c>
      <c r="Q92" s="71"/>
      <c r="R92" s="71"/>
      <c r="S92" s="92">
        <f t="shared" si="38"/>
        <v>0</v>
      </c>
      <c r="T92" s="92">
        <f t="shared" si="29"/>
        <v>0</v>
      </c>
      <c r="U92" s="92">
        <f t="shared" si="30"/>
        <v>0</v>
      </c>
      <c r="V92" s="92">
        <f t="shared" si="31"/>
        <v>0</v>
      </c>
      <c r="W92" s="92">
        <f t="shared" si="32"/>
        <v>0</v>
      </c>
      <c r="X92" s="92">
        <f t="shared" si="33"/>
        <v>8.9232932159999994</v>
      </c>
      <c r="Y92" s="72"/>
      <c r="Z92" s="72"/>
      <c r="AA92" s="72"/>
      <c r="AB92" s="93">
        <f>SUM(S92,U92,W92)*'MPS(calc_process_Option1)'!E$94*(44/28)*'MPS(calc_process_Option1)'!E$104+SUM(T92,V92,X92)*'MPS(calc_process_Option1)'!E$95*(44/28)*'MPS(calc_process_Option1)'!E$104</f>
        <v>12.535952212306285</v>
      </c>
      <c r="AC92" s="93">
        <f>((SUM(S92:T92)*'MPS(calc_process_Option1)'!E$96+SUM(U92:V92)*'MPS(calc_process_Option1)'!E$97)*'MPS(calc_process_Option1)'!E$98+SUM(S92:X92)*'MPS(calc_process_Option1)'!E$99*'MPS(calc_process_Option1)'!E$100)*44/28*'MPS(calc_process_Option1)'!E$104</f>
        <v>9.4019641592297152</v>
      </c>
      <c r="AD92" s="93">
        <f>(Y92*'MPS(calc_process_Option1)'!E$101+'MPS(input_PJ_Opt1)'!Z92*'MPS(calc_process_Option1)'!E$102)*(44/12)</f>
        <v>0</v>
      </c>
      <c r="AE92" s="93">
        <f>AA92*'MPS(calc_process_Option1)'!E$103*(44/12)</f>
        <v>0</v>
      </c>
      <c r="AF92" s="93">
        <f t="shared" si="34"/>
        <v>21.937916371535998</v>
      </c>
    </row>
    <row r="93" spans="1:32" x14ac:dyDescent="0.2">
      <c r="A93" s="219"/>
      <c r="B93" s="53">
        <f t="shared" si="35"/>
        <v>2022</v>
      </c>
      <c r="C93" s="71"/>
      <c r="D93" s="71"/>
      <c r="E93" s="71"/>
      <c r="F93" s="71"/>
      <c r="G93" s="71">
        <f t="shared" si="36"/>
        <v>1.1578999999999999</v>
      </c>
      <c r="H93" s="71"/>
      <c r="I93" s="71"/>
      <c r="J93" s="71">
        <f t="shared" si="37"/>
        <v>1.1578999999999999</v>
      </c>
      <c r="K93" s="71"/>
      <c r="L93" s="71"/>
      <c r="M93" s="71">
        <f>M92</f>
        <v>0</v>
      </c>
      <c r="N93" s="71"/>
      <c r="O93" s="71"/>
      <c r="P93" s="71">
        <f>200*2</f>
        <v>400</v>
      </c>
      <c r="Q93" s="71"/>
      <c r="R93" s="71"/>
      <c r="S93" s="92">
        <f t="shared" si="38"/>
        <v>0</v>
      </c>
      <c r="T93" s="92">
        <f t="shared" si="29"/>
        <v>0</v>
      </c>
      <c r="U93" s="92">
        <f t="shared" si="30"/>
        <v>0</v>
      </c>
      <c r="V93" s="92">
        <f t="shared" si="31"/>
        <v>0</v>
      </c>
      <c r="W93" s="92">
        <f t="shared" si="32"/>
        <v>0</v>
      </c>
      <c r="X93" s="92">
        <f t="shared" si="33"/>
        <v>8.9232932159999994</v>
      </c>
      <c r="Y93" s="72"/>
      <c r="Z93" s="72"/>
      <c r="AA93" s="72"/>
      <c r="AB93" s="93">
        <f>SUM(S93,U93,W93)*'MPS(calc_process_Option1)'!E$94*(44/28)*'MPS(calc_process_Option1)'!E$104+SUM(T93,V93,X93)*'MPS(calc_process_Option1)'!E$95*(44/28)*'MPS(calc_process_Option1)'!E$104</f>
        <v>12.535952212306285</v>
      </c>
      <c r="AC93" s="93">
        <f>((SUM(S93:T93)*'MPS(calc_process_Option1)'!E$96+SUM(U93:V93)*'MPS(calc_process_Option1)'!E$97)*'MPS(calc_process_Option1)'!E$98+SUM(S93:X93)*'MPS(calc_process_Option1)'!E$99*'MPS(calc_process_Option1)'!E$100)*44/28*'MPS(calc_process_Option1)'!E$104</f>
        <v>9.4019641592297152</v>
      </c>
      <c r="AD93" s="93">
        <f>(Y93*'MPS(calc_process_Option1)'!E$101+'MPS(input_PJ_Opt1)'!Z93*'MPS(calc_process_Option1)'!E$102)*(44/12)</f>
        <v>0</v>
      </c>
      <c r="AE93" s="93">
        <f>AA93*'MPS(calc_process_Option1)'!E$103*(44/12)</f>
        <v>0</v>
      </c>
      <c r="AF93" s="93">
        <f t="shared" si="34"/>
        <v>21.937916371535998</v>
      </c>
    </row>
    <row r="94" spans="1:32" x14ac:dyDescent="0.2">
      <c r="A94" s="219"/>
      <c r="B94" s="53">
        <f t="shared" si="35"/>
        <v>2023</v>
      </c>
      <c r="C94" s="71"/>
      <c r="D94" s="71"/>
      <c r="E94" s="71"/>
      <c r="F94" s="71"/>
      <c r="G94" s="71">
        <f t="shared" si="36"/>
        <v>1.1578999999999999</v>
      </c>
      <c r="H94" s="71"/>
      <c r="I94" s="71"/>
      <c r="J94" s="71">
        <f t="shared" si="37"/>
        <v>1.1578999999999999</v>
      </c>
      <c r="K94" s="71"/>
      <c r="L94" s="71"/>
      <c r="M94" s="71">
        <f t="shared" ref="M94:M100" si="39">M93</f>
        <v>0</v>
      </c>
      <c r="N94" s="71"/>
      <c r="O94" s="71"/>
      <c r="P94" s="71">
        <f>400*2</f>
        <v>800</v>
      </c>
      <c r="Q94" s="71"/>
      <c r="R94" s="71"/>
      <c r="S94" s="92">
        <f t="shared" si="38"/>
        <v>0</v>
      </c>
      <c r="T94" s="92">
        <f t="shared" si="29"/>
        <v>0</v>
      </c>
      <c r="U94" s="92">
        <f t="shared" si="30"/>
        <v>0</v>
      </c>
      <c r="V94" s="92">
        <f t="shared" si="31"/>
        <v>0</v>
      </c>
      <c r="W94" s="92">
        <f t="shared" si="32"/>
        <v>0</v>
      </c>
      <c r="X94" s="92">
        <f t="shared" si="33"/>
        <v>17.846586431999999</v>
      </c>
      <c r="Y94" s="72"/>
      <c r="Z94" s="72"/>
      <c r="AA94" s="72"/>
      <c r="AB94" s="93">
        <f>SUM(S94,U94,W94)*'MPS(calc_process_Option1)'!E$94*(44/28)*'MPS(calc_process_Option1)'!E$104+SUM(T94,V94,X94)*'MPS(calc_process_Option1)'!E$95*(44/28)*'MPS(calc_process_Option1)'!E$104</f>
        <v>25.071904424612569</v>
      </c>
      <c r="AC94" s="93">
        <f>((SUM(S94:T94)*'MPS(calc_process_Option1)'!E$96+SUM(U94:V94)*'MPS(calc_process_Option1)'!E$97)*'MPS(calc_process_Option1)'!E$98+SUM(S94:X94)*'MPS(calc_process_Option1)'!E$99*'MPS(calc_process_Option1)'!E$100)*44/28*'MPS(calc_process_Option1)'!E$104</f>
        <v>18.80392831845943</v>
      </c>
      <c r="AD94" s="93">
        <f>(Y94*'MPS(calc_process_Option1)'!E$101+'MPS(input_PJ_Opt1)'!Z94*'MPS(calc_process_Option1)'!E$102)*(44/12)</f>
        <v>0</v>
      </c>
      <c r="AE94" s="93">
        <f>AA94*'MPS(calc_process_Option1)'!E$103*(44/12)</f>
        <v>0</v>
      </c>
      <c r="AF94" s="93">
        <f t="shared" si="34"/>
        <v>43.875832743071996</v>
      </c>
    </row>
    <row r="95" spans="1:32" x14ac:dyDescent="0.2">
      <c r="A95" s="219"/>
      <c r="B95" s="53">
        <f t="shared" si="35"/>
        <v>2024</v>
      </c>
      <c r="C95" s="71"/>
      <c r="D95" s="71"/>
      <c r="E95" s="71"/>
      <c r="F95" s="71"/>
      <c r="G95" s="71">
        <f t="shared" si="36"/>
        <v>1.1578999999999999</v>
      </c>
      <c r="H95" s="71"/>
      <c r="I95" s="71"/>
      <c r="J95" s="71">
        <f t="shared" si="37"/>
        <v>1.1578999999999999</v>
      </c>
      <c r="K95" s="71"/>
      <c r="L95" s="71"/>
      <c r="M95" s="71">
        <f t="shared" si="39"/>
        <v>0</v>
      </c>
      <c r="N95" s="71"/>
      <c r="O95" s="71"/>
      <c r="P95" s="71">
        <f>400*2</f>
        <v>800</v>
      </c>
      <c r="Q95" s="71"/>
      <c r="R95" s="71"/>
      <c r="S95" s="92">
        <f t="shared" si="38"/>
        <v>0</v>
      </c>
      <c r="T95" s="92">
        <f t="shared" si="29"/>
        <v>0</v>
      </c>
      <c r="U95" s="92">
        <f t="shared" si="30"/>
        <v>0</v>
      </c>
      <c r="V95" s="92">
        <f t="shared" si="31"/>
        <v>0</v>
      </c>
      <c r="W95" s="92">
        <f t="shared" si="32"/>
        <v>0</v>
      </c>
      <c r="X95" s="92">
        <f t="shared" si="33"/>
        <v>17.846586431999999</v>
      </c>
      <c r="Y95" s="72"/>
      <c r="Z95" s="72"/>
      <c r="AA95" s="72"/>
      <c r="AB95" s="93">
        <f>SUM(S95,U95,W95)*'MPS(calc_process_Option1)'!E$94*(44/28)*'MPS(calc_process_Option1)'!E$104+SUM(T95,V95,X95)*'MPS(calc_process_Option1)'!E$95*(44/28)*'MPS(calc_process_Option1)'!E$104</f>
        <v>25.071904424612569</v>
      </c>
      <c r="AC95" s="93">
        <f>((SUM(S95:T95)*'MPS(calc_process_Option1)'!E$96+SUM(U95:V95)*'MPS(calc_process_Option1)'!E$97)*'MPS(calc_process_Option1)'!E$98+SUM(S95:X95)*'MPS(calc_process_Option1)'!E$99*'MPS(calc_process_Option1)'!E$100)*44/28*'MPS(calc_process_Option1)'!E$104</f>
        <v>18.80392831845943</v>
      </c>
      <c r="AD95" s="93">
        <f>(Y95*'MPS(calc_process_Option1)'!E$101+'MPS(input_PJ_Opt1)'!Z95*'MPS(calc_process_Option1)'!E$102)*(44/12)</f>
        <v>0</v>
      </c>
      <c r="AE95" s="93">
        <f>AA95*'MPS(calc_process_Option1)'!E$103*(44/12)</f>
        <v>0</v>
      </c>
      <c r="AF95" s="93">
        <f t="shared" si="34"/>
        <v>43.875832743071996</v>
      </c>
    </row>
    <row r="96" spans="1:32" x14ac:dyDescent="0.2">
      <c r="A96" s="219"/>
      <c r="B96" s="53">
        <f t="shared" si="35"/>
        <v>2025</v>
      </c>
      <c r="C96" s="71"/>
      <c r="D96" s="71"/>
      <c r="E96" s="71"/>
      <c r="F96" s="71"/>
      <c r="G96" s="71">
        <f t="shared" si="36"/>
        <v>1.1578999999999999</v>
      </c>
      <c r="H96" s="71"/>
      <c r="I96" s="71"/>
      <c r="J96" s="71">
        <f t="shared" si="37"/>
        <v>1.1578999999999999</v>
      </c>
      <c r="K96" s="71"/>
      <c r="L96" s="71"/>
      <c r="M96" s="71">
        <f t="shared" si="39"/>
        <v>0</v>
      </c>
      <c r="N96" s="71"/>
      <c r="O96" s="71"/>
      <c r="P96" s="71">
        <f>600*2</f>
        <v>1200</v>
      </c>
      <c r="Q96" s="71"/>
      <c r="R96" s="71"/>
      <c r="S96" s="92">
        <f t="shared" si="38"/>
        <v>0</v>
      </c>
      <c r="T96" s="92">
        <f t="shared" si="29"/>
        <v>0</v>
      </c>
      <c r="U96" s="92">
        <f t="shared" si="30"/>
        <v>0</v>
      </c>
      <c r="V96" s="92">
        <f t="shared" si="31"/>
        <v>0</v>
      </c>
      <c r="W96" s="92">
        <f t="shared" si="32"/>
        <v>0</v>
      </c>
      <c r="X96" s="92">
        <f t="shared" si="33"/>
        <v>26.769879648</v>
      </c>
      <c r="Y96" s="72"/>
      <c r="Z96" s="72"/>
      <c r="AA96" s="72"/>
      <c r="AB96" s="93">
        <f>SUM(S96,U96,W96)*'MPS(calc_process_Option1)'!E$94*(44/28)*'MPS(calc_process_Option1)'!E$104+SUM(T96,V96,X96)*'MPS(calc_process_Option1)'!E$95*(44/28)*'MPS(calc_process_Option1)'!E$104</f>
        <v>37.607856636918861</v>
      </c>
      <c r="AC96" s="93">
        <f>((SUM(S96:T96)*'MPS(calc_process_Option1)'!E$96+SUM(U96:V96)*'MPS(calc_process_Option1)'!E$97)*'MPS(calc_process_Option1)'!E$98+SUM(S96:X96)*'MPS(calc_process_Option1)'!E$99*'MPS(calc_process_Option1)'!E$100)*44/28*'MPS(calc_process_Option1)'!E$104</f>
        <v>28.205892477689133</v>
      </c>
      <c r="AD96" s="93">
        <f>(Y96*'MPS(calc_process_Option1)'!E$101+'MPS(input_PJ_Opt1)'!Z96*'MPS(calc_process_Option1)'!E$102)*(44/12)</f>
        <v>0</v>
      </c>
      <c r="AE96" s="93">
        <f>AA96*'MPS(calc_process_Option1)'!E$103*(44/12)</f>
        <v>0</v>
      </c>
      <c r="AF96" s="93">
        <f t="shared" si="34"/>
        <v>65.813749114607987</v>
      </c>
    </row>
    <row r="97" spans="1:54" x14ac:dyDescent="0.2">
      <c r="A97" s="219"/>
      <c r="B97" s="53">
        <f t="shared" si="35"/>
        <v>2026</v>
      </c>
      <c r="C97" s="71"/>
      <c r="D97" s="71"/>
      <c r="E97" s="71"/>
      <c r="F97" s="71"/>
      <c r="G97" s="71">
        <f t="shared" si="36"/>
        <v>1.1578999999999999</v>
      </c>
      <c r="H97" s="71"/>
      <c r="I97" s="71"/>
      <c r="J97" s="71">
        <f t="shared" si="37"/>
        <v>1.1578999999999999</v>
      </c>
      <c r="K97" s="71"/>
      <c r="L97" s="71"/>
      <c r="M97" s="71">
        <f t="shared" si="39"/>
        <v>0</v>
      </c>
      <c r="N97" s="71"/>
      <c r="O97" s="71"/>
      <c r="P97" s="71">
        <f t="shared" ref="P97:P100" si="40">P96</f>
        <v>1200</v>
      </c>
      <c r="Q97" s="71"/>
      <c r="R97" s="71"/>
      <c r="S97" s="92">
        <f t="shared" si="38"/>
        <v>0</v>
      </c>
      <c r="T97" s="92">
        <f t="shared" si="29"/>
        <v>0</v>
      </c>
      <c r="U97" s="92">
        <f t="shared" si="30"/>
        <v>0</v>
      </c>
      <c r="V97" s="92">
        <f t="shared" si="31"/>
        <v>0</v>
      </c>
      <c r="W97" s="92">
        <f t="shared" si="32"/>
        <v>0</v>
      </c>
      <c r="X97" s="92">
        <f t="shared" si="33"/>
        <v>26.769879648</v>
      </c>
      <c r="Y97" s="72"/>
      <c r="Z97" s="72"/>
      <c r="AA97" s="72"/>
      <c r="AB97" s="93">
        <f>SUM(S97,U97,W97)*'MPS(calc_process_Option1)'!E$94*(44/28)*'MPS(calc_process_Option1)'!E$104+SUM(T97,V97,X97)*'MPS(calc_process_Option1)'!E$95*(44/28)*'MPS(calc_process_Option1)'!E$104</f>
        <v>37.607856636918861</v>
      </c>
      <c r="AC97" s="93">
        <f>((SUM(S97:T97)*'MPS(calc_process_Option1)'!E$96+SUM(U97:V97)*'MPS(calc_process_Option1)'!E$97)*'MPS(calc_process_Option1)'!E$98+SUM(S97:X97)*'MPS(calc_process_Option1)'!E$99*'MPS(calc_process_Option1)'!E$100)*44/28*'MPS(calc_process_Option1)'!E$104</f>
        <v>28.205892477689133</v>
      </c>
      <c r="AD97" s="93">
        <f>(Y97*'MPS(calc_process_Option1)'!E$101+'MPS(input_PJ_Opt1)'!Z97*'MPS(calc_process_Option1)'!E$102)*(44/12)</f>
        <v>0</v>
      </c>
      <c r="AE97" s="93">
        <f>AA97*'MPS(calc_process_Option1)'!E$103*(44/12)</f>
        <v>0</v>
      </c>
      <c r="AF97" s="93">
        <f t="shared" si="34"/>
        <v>65.813749114607987</v>
      </c>
    </row>
    <row r="98" spans="1:54" x14ac:dyDescent="0.2">
      <c r="A98" s="219"/>
      <c r="B98" s="53">
        <f t="shared" si="35"/>
        <v>2027</v>
      </c>
      <c r="C98" s="71"/>
      <c r="D98" s="71"/>
      <c r="E98" s="71"/>
      <c r="F98" s="71"/>
      <c r="G98" s="71">
        <f t="shared" si="36"/>
        <v>1.1578999999999999</v>
      </c>
      <c r="H98" s="71"/>
      <c r="I98" s="71"/>
      <c r="J98" s="71">
        <f t="shared" si="37"/>
        <v>1.1578999999999999</v>
      </c>
      <c r="K98" s="71"/>
      <c r="L98" s="71"/>
      <c r="M98" s="71">
        <f t="shared" si="39"/>
        <v>0</v>
      </c>
      <c r="N98" s="71"/>
      <c r="O98" s="71"/>
      <c r="P98" s="71">
        <f t="shared" si="40"/>
        <v>1200</v>
      </c>
      <c r="Q98" s="71"/>
      <c r="R98" s="71"/>
      <c r="S98" s="92">
        <f t="shared" si="38"/>
        <v>0</v>
      </c>
      <c r="T98" s="92">
        <f t="shared" si="29"/>
        <v>0</v>
      </c>
      <c r="U98" s="92">
        <f t="shared" si="30"/>
        <v>0</v>
      </c>
      <c r="V98" s="92">
        <f t="shared" si="31"/>
        <v>0</v>
      </c>
      <c r="W98" s="92">
        <f t="shared" si="32"/>
        <v>0</v>
      </c>
      <c r="X98" s="92">
        <f t="shared" si="33"/>
        <v>26.769879648</v>
      </c>
      <c r="Y98" s="72"/>
      <c r="Z98" s="72"/>
      <c r="AA98" s="72"/>
      <c r="AB98" s="93">
        <f>SUM(S98,U98,W98)*'MPS(calc_process_Option1)'!E$94*(44/28)*'MPS(calc_process_Option1)'!E$104+SUM(T98,V98,X98)*'MPS(calc_process_Option1)'!E$95*(44/28)*'MPS(calc_process_Option1)'!E$104</f>
        <v>37.607856636918861</v>
      </c>
      <c r="AC98" s="93">
        <f>((SUM(S98:T98)*'MPS(calc_process_Option1)'!E$96+SUM(U98:V98)*'MPS(calc_process_Option1)'!E$97)*'MPS(calc_process_Option1)'!E$98+SUM(S98:X98)*'MPS(calc_process_Option1)'!E$99*'MPS(calc_process_Option1)'!E$100)*44/28*'MPS(calc_process_Option1)'!E$104</f>
        <v>28.205892477689133</v>
      </c>
      <c r="AD98" s="93">
        <f>(Y98*'MPS(calc_process_Option1)'!E$101+'MPS(input_PJ_Opt1)'!Z98*'MPS(calc_process_Option1)'!E$102)*(44/12)</f>
        <v>0</v>
      </c>
      <c r="AE98" s="93">
        <f>AA98*'MPS(calc_process_Option1)'!E$103*(44/12)</f>
        <v>0</v>
      </c>
      <c r="AF98" s="93">
        <f t="shared" si="34"/>
        <v>65.813749114607987</v>
      </c>
    </row>
    <row r="99" spans="1:54" x14ac:dyDescent="0.2">
      <c r="A99" s="219"/>
      <c r="B99" s="53">
        <f t="shared" si="35"/>
        <v>2028</v>
      </c>
      <c r="C99" s="71"/>
      <c r="D99" s="71"/>
      <c r="E99" s="71"/>
      <c r="F99" s="71"/>
      <c r="G99" s="71">
        <f t="shared" si="36"/>
        <v>1.1578999999999999</v>
      </c>
      <c r="H99" s="71"/>
      <c r="I99" s="71"/>
      <c r="J99" s="71">
        <f t="shared" si="37"/>
        <v>1.1578999999999999</v>
      </c>
      <c r="K99" s="71"/>
      <c r="L99" s="71"/>
      <c r="M99" s="71">
        <f t="shared" si="39"/>
        <v>0</v>
      </c>
      <c r="N99" s="71"/>
      <c r="O99" s="71"/>
      <c r="P99" s="71">
        <f t="shared" si="40"/>
        <v>1200</v>
      </c>
      <c r="Q99" s="71"/>
      <c r="R99" s="71"/>
      <c r="S99" s="92">
        <f t="shared" si="38"/>
        <v>0</v>
      </c>
      <c r="T99" s="92">
        <f t="shared" si="29"/>
        <v>0</v>
      </c>
      <c r="U99" s="92">
        <f t="shared" si="30"/>
        <v>0</v>
      </c>
      <c r="V99" s="92">
        <f t="shared" si="31"/>
        <v>0</v>
      </c>
      <c r="W99" s="92">
        <f t="shared" si="32"/>
        <v>0</v>
      </c>
      <c r="X99" s="92">
        <f t="shared" si="33"/>
        <v>26.769879648</v>
      </c>
      <c r="Y99" s="72"/>
      <c r="Z99" s="72"/>
      <c r="AA99" s="72"/>
      <c r="AB99" s="93">
        <f>SUM(S99,U99,W99)*'MPS(calc_process_Option1)'!E$94*(44/28)*'MPS(calc_process_Option1)'!E$104+SUM(T99,V99,X99)*'MPS(calc_process_Option1)'!E$95*(44/28)*'MPS(calc_process_Option1)'!E$104</f>
        <v>37.607856636918861</v>
      </c>
      <c r="AC99" s="93">
        <f>((SUM(S99:T99)*'MPS(calc_process_Option1)'!E$96+SUM(U99:V99)*'MPS(calc_process_Option1)'!E$97)*'MPS(calc_process_Option1)'!E$98+SUM(S99:X99)*'MPS(calc_process_Option1)'!E$99*'MPS(calc_process_Option1)'!E$100)*44/28*'MPS(calc_process_Option1)'!E$104</f>
        <v>28.205892477689133</v>
      </c>
      <c r="AD99" s="93">
        <f>(Y99*'MPS(calc_process_Option1)'!E$101+'MPS(input_PJ_Opt1)'!Z99*'MPS(calc_process_Option1)'!E$102)*(44/12)</f>
        <v>0</v>
      </c>
      <c r="AE99" s="93">
        <f>AA99*'MPS(calc_process_Option1)'!E$103*(44/12)</f>
        <v>0</v>
      </c>
      <c r="AF99" s="93">
        <f t="shared" si="34"/>
        <v>65.813749114607987</v>
      </c>
    </row>
    <row r="100" spans="1:54" x14ac:dyDescent="0.2">
      <c r="A100" s="220"/>
      <c r="B100" s="53">
        <f t="shared" si="35"/>
        <v>2029</v>
      </c>
      <c r="C100" s="71"/>
      <c r="D100" s="71"/>
      <c r="E100" s="71"/>
      <c r="F100" s="71"/>
      <c r="G100" s="71">
        <f t="shared" si="36"/>
        <v>1.1578999999999999</v>
      </c>
      <c r="H100" s="71"/>
      <c r="I100" s="71"/>
      <c r="J100" s="71">
        <f t="shared" si="37"/>
        <v>1.1578999999999999</v>
      </c>
      <c r="K100" s="71"/>
      <c r="L100" s="71"/>
      <c r="M100" s="71">
        <f t="shared" si="39"/>
        <v>0</v>
      </c>
      <c r="N100" s="71"/>
      <c r="O100" s="71"/>
      <c r="P100" s="71">
        <f t="shared" si="40"/>
        <v>1200</v>
      </c>
      <c r="Q100" s="71"/>
      <c r="R100" s="71"/>
      <c r="S100" s="92">
        <f t="shared" si="38"/>
        <v>0</v>
      </c>
      <c r="T100" s="92">
        <f t="shared" si="29"/>
        <v>0</v>
      </c>
      <c r="U100" s="92">
        <f t="shared" si="30"/>
        <v>0</v>
      </c>
      <c r="V100" s="92">
        <f t="shared" si="31"/>
        <v>0</v>
      </c>
      <c r="W100" s="92">
        <f>G100*M100*G$81*(J$81*P$81+M$81*S$81)+H100*N100*H$81*(K$81*Q$81+N$81*T$81)+I100*O100*I$81*(L$81*R$81+O$81*U$81)</f>
        <v>0</v>
      </c>
      <c r="X100" s="92">
        <f>J100*P100*G$81*(J$81*P$81+M$81*S$81)+K100*Q100*H$81*(K$81*Q$81+N$81*T$81)+L100*R100*I$81*(L$81*R$81+O$81*U$81)</f>
        <v>26.769879648</v>
      </c>
      <c r="Y100" s="72"/>
      <c r="Z100" s="72"/>
      <c r="AA100" s="72"/>
      <c r="AB100" s="93">
        <f>SUM(S100,U100,W100)*'MPS(calc_process_Option1)'!E$94*(44/28)*'MPS(calc_process_Option1)'!E$104+SUM(T100,V100,X100)*'MPS(calc_process_Option1)'!E$95*(44/28)*'MPS(calc_process_Option1)'!E$104</f>
        <v>37.607856636918861</v>
      </c>
      <c r="AC100" s="93">
        <f>((SUM(S100:T100)*'MPS(calc_process_Option1)'!E$96+SUM(U100:V100)*'MPS(calc_process_Option1)'!E$97)*'MPS(calc_process_Option1)'!E$98+SUM(S100:X100)*'MPS(calc_process_Option1)'!E$99*'MPS(calc_process_Option1)'!E$100)*44/28*'MPS(calc_process_Option1)'!E$104</f>
        <v>28.205892477689133</v>
      </c>
      <c r="AD100" s="93">
        <f>(Y100*'MPS(calc_process_Option1)'!E$101+'MPS(input_PJ_Opt1)'!Z100*'MPS(calc_process_Option1)'!E$102)*(44/12)</f>
        <v>0</v>
      </c>
      <c r="AE100" s="93">
        <f>AA100*'MPS(calc_process_Option1)'!E$103*(44/12)</f>
        <v>0</v>
      </c>
      <c r="AF100" s="93">
        <f t="shared" si="34"/>
        <v>65.813749114607987</v>
      </c>
    </row>
    <row r="101" spans="1:54" x14ac:dyDescent="0.2">
      <c r="A101" s="175"/>
      <c r="B101" s="58" t="s">
        <v>259</v>
      </c>
      <c r="C101" s="76" t="s">
        <v>26</v>
      </c>
      <c r="D101" s="76" t="s">
        <v>26</v>
      </c>
      <c r="E101" s="76" t="s">
        <v>26</v>
      </c>
      <c r="F101" s="76" t="s">
        <v>26</v>
      </c>
      <c r="G101" s="76" t="s">
        <v>26</v>
      </c>
      <c r="H101" s="76" t="s">
        <v>26</v>
      </c>
      <c r="I101" s="76" t="s">
        <v>26</v>
      </c>
      <c r="J101" s="76" t="s">
        <v>26</v>
      </c>
      <c r="K101" s="76" t="s">
        <v>26</v>
      </c>
      <c r="L101" s="76" t="s">
        <v>26</v>
      </c>
      <c r="M101" s="76" t="s">
        <v>26</v>
      </c>
      <c r="N101" s="76" t="s">
        <v>26</v>
      </c>
      <c r="O101" s="76" t="s">
        <v>26</v>
      </c>
      <c r="P101" s="76" t="s">
        <v>26</v>
      </c>
      <c r="Q101" s="76" t="s">
        <v>26</v>
      </c>
      <c r="R101" s="76" t="s">
        <v>26</v>
      </c>
      <c r="S101" s="76" t="s">
        <v>26</v>
      </c>
      <c r="T101" s="76" t="s">
        <v>26</v>
      </c>
      <c r="U101" s="76" t="s">
        <v>26</v>
      </c>
      <c r="V101" s="76" t="s">
        <v>26</v>
      </c>
      <c r="W101" s="76" t="s">
        <v>26</v>
      </c>
      <c r="X101" s="76" t="s">
        <v>26</v>
      </c>
      <c r="Y101" s="76" t="s">
        <v>26</v>
      </c>
      <c r="Z101" s="76" t="s">
        <v>26</v>
      </c>
      <c r="AA101" s="76" t="s">
        <v>26</v>
      </c>
      <c r="AB101" s="82">
        <f>SUM(AB89:AB100)</f>
        <v>263.68539748438786</v>
      </c>
      <c r="AC101" s="82">
        <f>SUM(AC89:AC100)</f>
        <v>197.54466894957548</v>
      </c>
      <c r="AD101" s="82">
        <f>SUM(AD89:AD100)</f>
        <v>0</v>
      </c>
      <c r="AE101" s="82">
        <f>SUM(AE89:AE100)</f>
        <v>0</v>
      </c>
      <c r="AF101" s="82">
        <f>SUM(AF89:AF100)</f>
        <v>461.2300664339632</v>
      </c>
    </row>
    <row r="104" spans="1:54" x14ac:dyDescent="0.2">
      <c r="A104" s="74" t="s">
        <v>321</v>
      </c>
    </row>
    <row r="105" spans="1:54" ht="16" x14ac:dyDescent="0.2">
      <c r="A105" s="213" t="s">
        <v>230</v>
      </c>
      <c r="B105" s="213"/>
      <c r="C105" s="211" t="s">
        <v>322</v>
      </c>
      <c r="D105" s="211"/>
      <c r="E105" s="211"/>
      <c r="F105" s="211"/>
      <c r="G105" s="211"/>
      <c r="H105" s="211"/>
      <c r="I105" s="211"/>
      <c r="J105" s="211"/>
      <c r="K105" s="211"/>
      <c r="L105" s="211"/>
      <c r="M105" s="211"/>
      <c r="N105" s="211"/>
      <c r="O105" s="212" t="s">
        <v>323</v>
      </c>
      <c r="P105" s="212"/>
      <c r="Q105" s="212"/>
      <c r="R105" s="212"/>
      <c r="S105" s="212"/>
      <c r="T105" s="212"/>
      <c r="U105" s="212"/>
      <c r="V105" s="212"/>
      <c r="W105" s="212"/>
      <c r="X105" s="212"/>
      <c r="Y105" s="212"/>
      <c r="Z105" s="211" t="s">
        <v>32</v>
      </c>
      <c r="AA105" s="211"/>
      <c r="AB105" s="211"/>
      <c r="AC105" s="211"/>
      <c r="AD105" s="211"/>
      <c r="AE105" s="211"/>
      <c r="AF105" s="211"/>
      <c r="AG105" s="211"/>
      <c r="AH105" s="211"/>
      <c r="AI105" s="211"/>
      <c r="AJ105" s="211"/>
      <c r="AK105" s="211"/>
      <c r="AL105" s="212" t="s">
        <v>324</v>
      </c>
      <c r="AM105" s="212"/>
      <c r="AN105" s="212"/>
      <c r="AO105" s="212"/>
      <c r="AP105" s="212"/>
      <c r="AQ105" s="212"/>
      <c r="AR105" s="212"/>
      <c r="AS105" s="212"/>
      <c r="AT105" s="212"/>
      <c r="AU105" s="212"/>
      <c r="AV105" s="212"/>
      <c r="AW105" s="212"/>
      <c r="AX105" s="49" t="s">
        <v>325</v>
      </c>
      <c r="AY105" s="49" t="s">
        <v>326</v>
      </c>
      <c r="AZ105" s="49" t="s">
        <v>327</v>
      </c>
      <c r="BA105" s="21" t="s">
        <v>133</v>
      </c>
      <c r="BB105" s="21" t="s">
        <v>234</v>
      </c>
    </row>
    <row r="106" spans="1:54" ht="56.5" x14ac:dyDescent="0.2">
      <c r="A106" s="213" t="s">
        <v>235</v>
      </c>
      <c r="B106" s="213"/>
      <c r="C106" s="211" t="s">
        <v>328</v>
      </c>
      <c r="D106" s="211"/>
      <c r="E106" s="211"/>
      <c r="F106" s="211"/>
      <c r="G106" s="211"/>
      <c r="H106" s="211"/>
      <c r="I106" s="211"/>
      <c r="J106" s="211"/>
      <c r="K106" s="211"/>
      <c r="L106" s="211"/>
      <c r="M106" s="211"/>
      <c r="N106" s="211"/>
      <c r="O106" s="212" t="s">
        <v>329</v>
      </c>
      <c r="P106" s="212"/>
      <c r="Q106" s="212"/>
      <c r="R106" s="212"/>
      <c r="S106" s="212"/>
      <c r="T106" s="212"/>
      <c r="U106" s="212"/>
      <c r="V106" s="212"/>
      <c r="W106" s="212"/>
      <c r="X106" s="212"/>
      <c r="Y106" s="212"/>
      <c r="Z106" s="211" t="s">
        <v>330</v>
      </c>
      <c r="AA106" s="211"/>
      <c r="AB106" s="211"/>
      <c r="AC106" s="211"/>
      <c r="AD106" s="211"/>
      <c r="AE106" s="211"/>
      <c r="AF106" s="211"/>
      <c r="AG106" s="211"/>
      <c r="AH106" s="211"/>
      <c r="AI106" s="211"/>
      <c r="AJ106" s="211"/>
      <c r="AK106" s="211"/>
      <c r="AL106" s="212" t="s">
        <v>331</v>
      </c>
      <c r="AM106" s="212"/>
      <c r="AN106" s="212"/>
      <c r="AO106" s="212"/>
      <c r="AP106" s="212"/>
      <c r="AQ106" s="212"/>
      <c r="AR106" s="212"/>
      <c r="AS106" s="212"/>
      <c r="AT106" s="212"/>
      <c r="AU106" s="212"/>
      <c r="AV106" s="212"/>
      <c r="AW106" s="212"/>
      <c r="AX106" s="51" t="s">
        <v>332</v>
      </c>
      <c r="AY106" s="51" t="s">
        <v>333</v>
      </c>
      <c r="AZ106" s="51" t="s">
        <v>334</v>
      </c>
      <c r="BA106" s="174" t="s">
        <v>239</v>
      </c>
      <c r="BB106" s="174" t="s">
        <v>240</v>
      </c>
    </row>
    <row r="107" spans="1:54" ht="16" x14ac:dyDescent="0.2">
      <c r="A107" s="213" t="s">
        <v>241</v>
      </c>
      <c r="B107" s="213"/>
      <c r="C107" s="211" t="s">
        <v>27</v>
      </c>
      <c r="D107" s="211"/>
      <c r="E107" s="211"/>
      <c r="F107" s="211"/>
      <c r="G107" s="211"/>
      <c r="H107" s="211"/>
      <c r="I107" s="211"/>
      <c r="J107" s="211"/>
      <c r="K107" s="211"/>
      <c r="L107" s="211"/>
      <c r="M107" s="211"/>
      <c r="N107" s="211"/>
      <c r="O107" s="212" t="s">
        <v>242</v>
      </c>
      <c r="P107" s="212"/>
      <c r="Q107" s="212"/>
      <c r="R107" s="212"/>
      <c r="S107" s="212"/>
      <c r="T107" s="212"/>
      <c r="U107" s="212"/>
      <c r="V107" s="212"/>
      <c r="W107" s="212"/>
      <c r="X107" s="212"/>
      <c r="Y107" s="212"/>
      <c r="Z107" s="211" t="s">
        <v>27</v>
      </c>
      <c r="AA107" s="211"/>
      <c r="AB107" s="211"/>
      <c r="AC107" s="211"/>
      <c r="AD107" s="211"/>
      <c r="AE107" s="211"/>
      <c r="AF107" s="211"/>
      <c r="AG107" s="211"/>
      <c r="AH107" s="211"/>
      <c r="AI107" s="211"/>
      <c r="AJ107" s="211"/>
      <c r="AK107" s="211"/>
      <c r="AL107" s="212" t="s">
        <v>242</v>
      </c>
      <c r="AM107" s="212"/>
      <c r="AN107" s="212"/>
      <c r="AO107" s="212"/>
      <c r="AP107" s="212"/>
      <c r="AQ107" s="212"/>
      <c r="AR107" s="212"/>
      <c r="AS107" s="212"/>
      <c r="AT107" s="212"/>
      <c r="AU107" s="212"/>
      <c r="AV107" s="212"/>
      <c r="AW107" s="212"/>
      <c r="AX107" s="49" t="s">
        <v>282</v>
      </c>
      <c r="AY107" s="49" t="s">
        <v>282</v>
      </c>
      <c r="AZ107" s="49" t="s">
        <v>282</v>
      </c>
      <c r="BA107" s="174" t="s">
        <v>244</v>
      </c>
      <c r="BB107" s="174" t="s">
        <v>244</v>
      </c>
    </row>
    <row r="108" spans="1:54" ht="42" x14ac:dyDescent="0.2">
      <c r="A108" s="213" t="s">
        <v>245</v>
      </c>
      <c r="B108" s="213"/>
      <c r="C108" s="50" t="s">
        <v>246</v>
      </c>
      <c r="D108" s="50" t="s">
        <v>247</v>
      </c>
      <c r="E108" s="50" t="s">
        <v>248</v>
      </c>
      <c r="F108" s="50" t="s">
        <v>249</v>
      </c>
      <c r="G108" s="50" t="s">
        <v>250</v>
      </c>
      <c r="H108" s="50" t="s">
        <v>251</v>
      </c>
      <c r="I108" s="50" t="s">
        <v>252</v>
      </c>
      <c r="J108" s="50" t="s">
        <v>253</v>
      </c>
      <c r="K108" s="50" t="s">
        <v>254</v>
      </c>
      <c r="L108" s="50" t="s">
        <v>255</v>
      </c>
      <c r="M108" s="50" t="s">
        <v>256</v>
      </c>
      <c r="N108" s="50" t="s">
        <v>257</v>
      </c>
      <c r="O108" s="75" t="str">
        <f>C108</f>
        <v>Evergreen forest</v>
      </c>
      <c r="P108" s="75" t="str">
        <f t="shared" ref="P108:Y108" si="41">D108</f>
        <v>Semi-evergreen forest</v>
      </c>
      <c r="Q108" s="75" t="str">
        <f t="shared" si="41"/>
        <v>Pine forest</v>
      </c>
      <c r="R108" s="75" t="str">
        <f t="shared" si="41"/>
        <v>Deciduous forest</v>
      </c>
      <c r="S108" s="75" t="str">
        <f t="shared" si="41"/>
        <v>Bamboo</v>
      </c>
      <c r="T108" s="75" t="str">
        <f t="shared" si="41"/>
        <v>Mangrove</v>
      </c>
      <c r="U108" s="75" t="str">
        <f t="shared" si="41"/>
        <v>Rear Mangrove</v>
      </c>
      <c r="V108" s="75" t="str">
        <f t="shared" si="41"/>
        <v xml:space="preserve">Flooded forest </v>
      </c>
      <c r="W108" s="75" t="str">
        <f t="shared" si="41"/>
        <v xml:space="preserve">Forest regrowth </v>
      </c>
      <c r="X108" s="75" t="str">
        <f t="shared" si="41"/>
        <v>Tree plantation</v>
      </c>
      <c r="Y108" s="75" t="str">
        <f t="shared" si="41"/>
        <v>Pine plantation</v>
      </c>
      <c r="Z108" s="50" t="str">
        <f>C108</f>
        <v>Evergreen forest</v>
      </c>
      <c r="AA108" s="50" t="str">
        <f t="shared" ref="AA108:AK108" si="42">D108</f>
        <v>Semi-evergreen forest</v>
      </c>
      <c r="AB108" s="50" t="str">
        <f t="shared" si="42"/>
        <v>Pine forest</v>
      </c>
      <c r="AC108" s="50" t="str">
        <f t="shared" si="42"/>
        <v>Deciduous forest</v>
      </c>
      <c r="AD108" s="50" t="str">
        <f t="shared" si="42"/>
        <v>Bamboo</v>
      </c>
      <c r="AE108" s="50" t="str">
        <f t="shared" si="42"/>
        <v>Mangrove</v>
      </c>
      <c r="AF108" s="50" t="str">
        <f t="shared" si="42"/>
        <v>Rear Mangrove</v>
      </c>
      <c r="AG108" s="50" t="str">
        <f t="shared" si="42"/>
        <v xml:space="preserve">Flooded forest </v>
      </c>
      <c r="AH108" s="50" t="str">
        <f t="shared" si="42"/>
        <v xml:space="preserve">Forest regrowth </v>
      </c>
      <c r="AI108" s="50" t="str">
        <f t="shared" si="42"/>
        <v>Tree plantation</v>
      </c>
      <c r="AJ108" s="50" t="str">
        <f t="shared" si="42"/>
        <v>Pine plantation</v>
      </c>
      <c r="AK108" s="50" t="str">
        <f t="shared" si="42"/>
        <v>non forest</v>
      </c>
      <c r="AL108" s="75" t="str">
        <f>C108</f>
        <v>Evergreen forest</v>
      </c>
      <c r="AM108" s="75" t="str">
        <f t="shared" ref="AM108:AW108" si="43">D108</f>
        <v>Semi-evergreen forest</v>
      </c>
      <c r="AN108" s="75" t="str">
        <f t="shared" si="43"/>
        <v>Pine forest</v>
      </c>
      <c r="AO108" s="75" t="str">
        <f t="shared" si="43"/>
        <v>Deciduous forest</v>
      </c>
      <c r="AP108" s="75" t="str">
        <f t="shared" si="43"/>
        <v>Bamboo</v>
      </c>
      <c r="AQ108" s="75" t="str">
        <f t="shared" si="43"/>
        <v>Mangrove</v>
      </c>
      <c r="AR108" s="75" t="str">
        <f t="shared" si="43"/>
        <v>Rear Mangrove</v>
      </c>
      <c r="AS108" s="75" t="str">
        <f t="shared" si="43"/>
        <v xml:space="preserve">Flooded forest </v>
      </c>
      <c r="AT108" s="75" t="str">
        <f t="shared" si="43"/>
        <v xml:space="preserve">Forest regrowth </v>
      </c>
      <c r="AU108" s="75" t="str">
        <f t="shared" si="43"/>
        <v>Tree plantation</v>
      </c>
      <c r="AV108" s="75" t="str">
        <f t="shared" si="43"/>
        <v>Pine plantation</v>
      </c>
      <c r="AW108" s="75" t="str">
        <f t="shared" si="43"/>
        <v>non forest</v>
      </c>
      <c r="AX108" s="49" t="s">
        <v>26</v>
      </c>
      <c r="AY108" s="49" t="s">
        <v>26</v>
      </c>
      <c r="AZ108" s="49" t="s">
        <v>26</v>
      </c>
      <c r="BA108" s="49" t="s">
        <v>26</v>
      </c>
      <c r="BB108" s="49" t="s">
        <v>26</v>
      </c>
    </row>
    <row r="109" spans="1:54" ht="28" x14ac:dyDescent="0.2">
      <c r="A109" s="53" t="s">
        <v>258</v>
      </c>
      <c r="B109" s="53">
        <f>'MPS(input_RL_Opt1)'!B7</f>
        <v>2018</v>
      </c>
      <c r="C109" s="46">
        <v>6240.5087834271699</v>
      </c>
      <c r="D109" s="46">
        <v>5160.98574059372</v>
      </c>
      <c r="E109" s="46"/>
      <c r="F109" s="46">
        <v>4396.12421340541</v>
      </c>
      <c r="G109" s="46">
        <v>184.165301382179</v>
      </c>
      <c r="H109" s="46"/>
      <c r="I109" s="46"/>
      <c r="J109" s="46"/>
      <c r="K109" s="46">
        <v>620.90549311067696</v>
      </c>
      <c r="L109" s="46"/>
      <c r="M109" s="46"/>
      <c r="N109" s="46"/>
      <c r="O109" s="94" t="s">
        <v>26</v>
      </c>
      <c r="P109" s="94" t="s">
        <v>26</v>
      </c>
      <c r="Q109" s="94" t="s">
        <v>26</v>
      </c>
      <c r="R109" s="94" t="s">
        <v>26</v>
      </c>
      <c r="S109" s="94" t="s">
        <v>26</v>
      </c>
      <c r="T109" s="94" t="s">
        <v>26</v>
      </c>
      <c r="U109" s="94" t="s">
        <v>26</v>
      </c>
      <c r="V109" s="94" t="s">
        <v>26</v>
      </c>
      <c r="W109" s="94" t="s">
        <v>26</v>
      </c>
      <c r="X109" s="94" t="s">
        <v>26</v>
      </c>
      <c r="Y109" s="94" t="s">
        <v>26</v>
      </c>
      <c r="Z109" s="94" t="s">
        <v>26</v>
      </c>
      <c r="AA109" s="94" t="s">
        <v>26</v>
      </c>
      <c r="AB109" s="94" t="s">
        <v>26</v>
      </c>
      <c r="AC109" s="94" t="s">
        <v>26</v>
      </c>
      <c r="AD109" s="94" t="s">
        <v>26</v>
      </c>
      <c r="AE109" s="94" t="s">
        <v>26</v>
      </c>
      <c r="AF109" s="94" t="s">
        <v>26</v>
      </c>
      <c r="AG109" s="94" t="s">
        <v>26</v>
      </c>
      <c r="AH109" s="94" t="s">
        <v>26</v>
      </c>
      <c r="AI109" s="94" t="s">
        <v>26</v>
      </c>
      <c r="AJ109" s="94" t="s">
        <v>26</v>
      </c>
      <c r="AK109" s="94" t="s">
        <v>26</v>
      </c>
      <c r="AL109" s="94" t="s">
        <v>26</v>
      </c>
      <c r="AM109" s="94" t="s">
        <v>26</v>
      </c>
      <c r="AN109" s="94" t="s">
        <v>26</v>
      </c>
      <c r="AO109" s="94" t="s">
        <v>26</v>
      </c>
      <c r="AP109" s="94" t="s">
        <v>26</v>
      </c>
      <c r="AQ109" s="94" t="s">
        <v>26</v>
      </c>
      <c r="AR109" s="94" t="s">
        <v>26</v>
      </c>
      <c r="AS109" s="94" t="s">
        <v>26</v>
      </c>
      <c r="AT109" s="94" t="s">
        <v>26</v>
      </c>
      <c r="AU109" s="94" t="s">
        <v>26</v>
      </c>
      <c r="AV109" s="94" t="s">
        <v>26</v>
      </c>
      <c r="AW109" s="94" t="s">
        <v>26</v>
      </c>
      <c r="AX109" s="94" t="s">
        <v>26</v>
      </c>
      <c r="AY109" s="94" t="s">
        <v>26</v>
      </c>
      <c r="AZ109" s="94" t="s">
        <v>26</v>
      </c>
      <c r="BA109" s="94" t="s">
        <v>26</v>
      </c>
      <c r="BB109" s="94" t="s">
        <v>26</v>
      </c>
    </row>
    <row r="110" spans="1:54" x14ac:dyDescent="0.2">
      <c r="A110" s="214" t="s">
        <v>221</v>
      </c>
      <c r="B110" s="53">
        <f>'MPS(input_RL_Opt1)'!B8</f>
        <v>2018</v>
      </c>
      <c r="C110" s="52">
        <f>IFERROR(C109*(1-'MPS(input_Option1)'!$E$48*$BA110/$BB110),0)</f>
        <v>6114.9206813212404</v>
      </c>
      <c r="D110" s="52">
        <f>IFERROR(D109*(1-'MPS(input_Option1)'!$E$49*$BA110/$BB110),0)</f>
        <v>5032.0954241050022</v>
      </c>
      <c r="E110" s="52">
        <f>IFERROR(E109*(1-'MPS(input_Option1)'!$E$50*$BA110/$BB110),0)</f>
        <v>0</v>
      </c>
      <c r="F110" s="52">
        <f>IFERROR(F109*(1-'MPS(input_Option1)'!$E$51*$BA110/$BB110),0)</f>
        <v>4273.5446129069614</v>
      </c>
      <c r="G110" s="52">
        <f>IFERROR(G109*(1-'MPS(input_Option1)'!$E$52*$BA110/$BB110),0)</f>
        <v>182.06657379012645</v>
      </c>
      <c r="H110" s="52">
        <f>IFERROR(H109*(1-'MPS(input_Option1)'!$E$53*$BA110/$BB110),0)</f>
        <v>0</v>
      </c>
      <c r="I110" s="52">
        <f>IFERROR(I109*(1-'MPS(input_Option1)'!$E$54*$BA110/$BB110),0)</f>
        <v>0</v>
      </c>
      <c r="J110" s="52">
        <f>IFERROR(J109*(1-'MPS(input_Option1)'!$E$55*$BA110/$BB110),0)</f>
        <v>0</v>
      </c>
      <c r="K110" s="52">
        <f>IFERROR(K109*(1-'MPS(input_Option1)'!$E$56*$BA110/$BB110),0)</f>
        <v>572.12783801627813</v>
      </c>
      <c r="L110" s="52">
        <f>IFERROR(L109*(1-'MPS(input_Option1)'!$E$57*$BA110/$BB110),0)</f>
        <v>0</v>
      </c>
      <c r="M110" s="52">
        <f>IFERROR(M109*(1-'MPS(input_Option1)'!$E$58*$BA110/$BB110),0)</f>
        <v>0</v>
      </c>
      <c r="N110" s="52">
        <f>SUM(C$109:N$109)-SUM(C110:M110)</f>
        <v>427.93440177954835</v>
      </c>
      <c r="O110" s="52">
        <f>IFERROR(C109*'MPS(input_Option1)'!$E$48*$BA110/$BB110*'MPS(input_Option1)'!$E$59,0)</f>
        <v>11466.193722271364</v>
      </c>
      <c r="P110" s="52">
        <f>IFERROR(D109*'MPS(input_Option1)'!$E$49*$BA110/$BB110*'MPS(input_Option1)'!$E$60,0)</f>
        <v>17414.370660790686</v>
      </c>
      <c r="Q110" s="52">
        <f>IFERROR(E109*'MPS(input_Option1)'!$E$50*$BA110/$BB110*'MPS(input_Option1)'!$E$61,0)</f>
        <v>0</v>
      </c>
      <c r="R110" s="52">
        <f>IFERROR(F109*'MPS(input_Option1)'!$E$51*$BA110/$BB110*'MPS(input_Option1)'!$E$62,0)</f>
        <v>5909.5625400301842</v>
      </c>
      <c r="S110" s="52">
        <f>IFERROR(G109*'MPS(input_Option1)'!$E$52*$BA110/$BB110*'MPS(input_Option1)'!$E$63,0)</f>
        <v>0</v>
      </c>
      <c r="T110" s="52">
        <f>IFERROR(H109*'MPS(input_Option1)'!$E$53*$BA110/$BB110*'MPS(input_Option1)'!$E$64,0)</f>
        <v>0</v>
      </c>
      <c r="U110" s="52">
        <f>IFERROR(I109*'MPS(input_Option1)'!$E$54*$BA110/$BB110*'MPS(input_Option1)'!$E$65,0)</f>
        <v>0</v>
      </c>
      <c r="V110" s="52">
        <f>IFERROR(J109*'MPS(input_Option1)'!$E$55*$BA110/$BB110*'MPS(input_Option1)'!$E$66,0)</f>
        <v>0</v>
      </c>
      <c r="W110" s="52">
        <f>IFERROR(K109*'MPS(input_Option1)'!$E$56*$BA110/$BB110*'MPS(input_Option1)'!$E$67,0)</f>
        <v>2080.3669897761074</v>
      </c>
      <c r="X110" s="52">
        <f>IFERROR(L109*'MPS(input_Option1)'!$E$57*$BA110/$BB110*'MPS(input_Option1)'!$E$68,0)</f>
        <v>0</v>
      </c>
      <c r="Y110" s="52">
        <f>IFERROR(M109*'MPS(input_Option1)'!$E$58*$BA110/$BB110*'MPS(input_Option1)'!$E$69,0)</f>
        <v>0</v>
      </c>
      <c r="Z110" s="73">
        <v>62.259800355599999</v>
      </c>
      <c r="AA110" s="73">
        <f>318.075387769-0.225585</f>
        <v>317.84980276899995</v>
      </c>
      <c r="AB110" s="73"/>
      <c r="AC110" s="73">
        <v>53.558613125699999</v>
      </c>
      <c r="AD110" s="73">
        <v>0</v>
      </c>
      <c r="AE110" s="73"/>
      <c r="AF110" s="73"/>
      <c r="AG110" s="73"/>
      <c r="AH110" s="73">
        <v>27.737849279999999</v>
      </c>
      <c r="AI110" s="73"/>
      <c r="AJ110" s="73"/>
      <c r="AK110" s="73"/>
      <c r="AL110" s="52">
        <f>Z110*'MPS(input_Option1)'!$E$59</f>
        <v>5684.3197724662796</v>
      </c>
      <c r="AM110" s="52">
        <f>AA110*'MPS(input_Option1)'!$E$60</f>
        <v>42944.686852119587</v>
      </c>
      <c r="AN110" s="52">
        <f>AB110*'MPS(input_Option1)'!$E$61</f>
        <v>0</v>
      </c>
      <c r="AO110" s="52">
        <f>AC110*'MPS(input_Option1)'!$E$62</f>
        <v>2582.0607387899968</v>
      </c>
      <c r="AP110" s="52">
        <f>AD110*'MPS(input_Option1)'!$E$63</f>
        <v>0</v>
      </c>
      <c r="AQ110" s="52">
        <f>AE110*'MPS(input_Option1)'!$E$64</f>
        <v>0</v>
      </c>
      <c r="AR110" s="52">
        <f>AF110*'MPS(input_Option1)'!$E$65</f>
        <v>0</v>
      </c>
      <c r="AS110" s="52">
        <f>ROUND(AG110*'MPS(input_Option1)'!$E$66,2)</f>
        <v>0</v>
      </c>
      <c r="AT110" s="52">
        <f>AH110*'MPS(input_Option1)'!$E$67</f>
        <v>1183.0192717919999</v>
      </c>
      <c r="AU110" s="52">
        <f>AI110*'MPS(input_Option1)'!$E$68</f>
        <v>0</v>
      </c>
      <c r="AV110" s="52">
        <f>AJ110*'MPS(input_Option1)'!$E$69</f>
        <v>0</v>
      </c>
      <c r="AW110" s="52">
        <f t="shared" ref="AW110" si="44">AK110*0</f>
        <v>0</v>
      </c>
      <c r="AX110" s="95">
        <f>SUM(O110:Y110)*(44/12)</f>
        <v>135191.81101385059</v>
      </c>
      <c r="AY110" s="95">
        <f>SUM(AL110:AW110)*(44/12)</f>
        <v>192111.65099561549</v>
      </c>
      <c r="AZ110" s="95">
        <f>_xlfn.IFS(AY110-AX110&gt;0,AY110-AX110,TRUE,0)</f>
        <v>56919.839981764904</v>
      </c>
      <c r="BA110" s="95">
        <f>'MPS(input_RL_Opt1)'!AB8</f>
        <v>295</v>
      </c>
      <c r="BB110" s="95">
        <f>'MPS(input_RL_Opt1)'!AC8</f>
        <v>365</v>
      </c>
    </row>
    <row r="111" spans="1:54" x14ac:dyDescent="0.2">
      <c r="A111" s="215"/>
      <c r="B111" s="53">
        <f t="shared" ref="B111:B121" si="45">B110+1</f>
        <v>2019</v>
      </c>
      <c r="C111" s="52">
        <f>C110*(1-'MPS(input_Option1)'!$E$48)</f>
        <v>5962.6591563563416</v>
      </c>
      <c r="D111" s="52">
        <f>D110*(1-'MPS(input_Option1)'!$E$49)</f>
        <v>4876.6036755001578</v>
      </c>
      <c r="E111" s="52">
        <f>E110*(1-'MPS(input_Option1)'!$E$50)</f>
        <v>0</v>
      </c>
      <c r="F111" s="52">
        <f>F110*(1-'MPS(input_Option1)'!$E$51)</f>
        <v>4126.1073237616711</v>
      </c>
      <c r="G111" s="52">
        <f>G110*(1-'MPS(input_Option1)'!$E$52)</f>
        <v>179.49943509968568</v>
      </c>
      <c r="H111" s="52">
        <f>H110*(1-'MPS(input_Option1)'!$E$53)</f>
        <v>0</v>
      </c>
      <c r="I111" s="52">
        <f>I110*(1-'MPS(input_Option1)'!$E$54)</f>
        <v>0</v>
      </c>
      <c r="J111" s="52">
        <f>J110*(1-'MPS(input_Option1)'!$E$55)</f>
        <v>0</v>
      </c>
      <c r="K111" s="52">
        <f>K110*(1-'MPS(input_Option1)'!$E$56)</f>
        <v>516.51701216109598</v>
      </c>
      <c r="L111" s="52">
        <f>L110*(1-'MPS(input_Option1)'!$E$57)</f>
        <v>0</v>
      </c>
      <c r="M111" s="52">
        <f>M110*(1-'MPS(input_Option1)'!$E$58)</f>
        <v>0</v>
      </c>
      <c r="N111" s="52">
        <f t="shared" ref="N111:N121" si="46">SUM(C$109:N$109)-SUM(C111:M111)</f>
        <v>941.30292904020462</v>
      </c>
      <c r="O111" s="52">
        <f>IFERROR(C110*'MPS(input_Option1)'!$E$48*$BA111/$BB111*'MPS(input_Option1)'!$E$59,0)</f>
        <v>13901.477229295268</v>
      </c>
      <c r="P111" s="52">
        <f>IFERROR(D110*'MPS(input_Option1)'!$E$49*$BA111/$BB111*'MPS(input_Option1)'!$E$60,0)</f>
        <v>21008.490154000552</v>
      </c>
      <c r="Q111" s="52">
        <f>IFERROR(E110*'MPS(input_Option1)'!$E$50*$BA111/$BB111*'MPS(input_Option1)'!$E$61,0)</f>
        <v>0</v>
      </c>
      <c r="R111" s="52">
        <f>IFERROR(F110*'MPS(input_Option1)'!$E$51*$BA111/$BB111*'MPS(input_Option1)'!$E$62,0)</f>
        <v>7107.9517096944401</v>
      </c>
      <c r="S111" s="52">
        <f>IFERROR(G110*'MPS(input_Option1)'!$E$52*$BA111/$BB111*'MPS(input_Option1)'!$E$63,0)</f>
        <v>0</v>
      </c>
      <c r="T111" s="52">
        <f>IFERROR(H110*'MPS(input_Option1)'!$E$53*$BA111/$BB111*'MPS(input_Option1)'!$E$64,0)</f>
        <v>0</v>
      </c>
      <c r="U111" s="52">
        <f>IFERROR(I110*'MPS(input_Option1)'!$E$54*$BA111/$BB111*'MPS(input_Option1)'!$E$65,0)</f>
        <v>0</v>
      </c>
      <c r="V111" s="52">
        <f>IFERROR(J110*'MPS(input_Option1)'!$E$55*$BA111/$BB111*'MPS(input_Option1)'!$E$66,0)</f>
        <v>0</v>
      </c>
      <c r="W111" s="52">
        <f>IFERROR(K110*'MPS(input_Option1)'!$E$56*$BA111/$BB111*'MPS(input_Option1)'!$E$67,0)</f>
        <v>2371.8017227235227</v>
      </c>
      <c r="X111" s="52">
        <f>IFERROR(L110*'MPS(input_Option1)'!$E$57*$BA111/$BB111*'MPS(input_Option1)'!$E$68,0)</f>
        <v>0</v>
      </c>
      <c r="Y111" s="52">
        <f>IFERROR(M110*'MPS(input_Option1)'!$E$58*$BA111/$BB111*'MPS(input_Option1)'!$E$69,0)</f>
        <v>0</v>
      </c>
      <c r="Z111" s="73">
        <f>286.827460344-0.004846-0.00141-0.111948</f>
        <v>286.70925634399998</v>
      </c>
      <c r="AA111" s="73">
        <f>709.851407204-0.000003-0.167946</f>
        <v>709.68345820399998</v>
      </c>
      <c r="AB111" s="73"/>
      <c r="AC111" s="73">
        <v>71.405916660000003</v>
      </c>
      <c r="AD111" s="73">
        <v>3</v>
      </c>
      <c r="AE111" s="73"/>
      <c r="AF111" s="73"/>
      <c r="AG111" s="73"/>
      <c r="AH111" s="73">
        <f>60.5332276386-0.125192</f>
        <v>60.408035638600005</v>
      </c>
      <c r="AI111" s="73"/>
      <c r="AJ111" s="73"/>
      <c r="AK111" s="73"/>
      <c r="AL111" s="52">
        <f>Z111*'MPS(input_Option1)'!$E$59</f>
        <v>26176.555104207197</v>
      </c>
      <c r="AM111" s="52">
        <f>AA111*'MPS(input_Option1)'!$E$60</f>
        <v>95885.33203794244</v>
      </c>
      <c r="AN111" s="52">
        <f>AB111*'MPS(input_Option1)'!$E$61</f>
        <v>0</v>
      </c>
      <c r="AO111" s="52">
        <f>AC111*'MPS(input_Option1)'!$E$62</f>
        <v>3442.4792421786001</v>
      </c>
      <c r="AP111" s="52">
        <f>AD111*'MPS(input_Option1)'!$E$63</f>
        <v>0</v>
      </c>
      <c r="AQ111" s="52">
        <f>AE111*'MPS(input_Option1)'!$E$64</f>
        <v>0</v>
      </c>
      <c r="AR111" s="52">
        <f>AF111*'MPS(input_Option1)'!$E$65</f>
        <v>0</v>
      </c>
      <c r="AS111" s="52">
        <f>ROUND(AG111*'MPS(input_Option1)'!$E$66,2)</f>
        <v>0</v>
      </c>
      <c r="AT111" s="52">
        <f>AH111*'MPS(input_Option1)'!$E$67</f>
        <v>2576.4027199862903</v>
      </c>
      <c r="AU111" s="52">
        <f>AI111*'MPS(input_Option1)'!$E$68</f>
        <v>0</v>
      </c>
      <c r="AV111" s="52">
        <f>AJ111*'MPS(input_Option1)'!$E$69</f>
        <v>0</v>
      </c>
      <c r="AW111" s="52">
        <f t="shared" ref="AW111:AW121" si="47">AK111*0</f>
        <v>0</v>
      </c>
      <c r="AX111" s="95">
        <f t="shared" ref="AX111:AX121" si="48">SUM(O111:Y111)*(44/12)</f>
        <v>162762.30965761721</v>
      </c>
      <c r="AY111" s="95">
        <f t="shared" ref="AY111:AY121" si="49">SUM(AL111:AW111)*(44/12)</f>
        <v>469629.48671581992</v>
      </c>
      <c r="AZ111" s="95">
        <f t="shared" ref="AZ111:AZ121" si="50">_xlfn.IFS(AY111-AX111&gt;0,AY111-AX111,TRUE,0)</f>
        <v>306867.17705820268</v>
      </c>
      <c r="BA111" s="95">
        <f>'MPS(input_RL_Opt1)'!AB9</f>
        <v>365</v>
      </c>
      <c r="BB111" s="95">
        <f>'MPS(input_RL_Opt1)'!AC9</f>
        <v>365</v>
      </c>
    </row>
    <row r="112" spans="1:54" x14ac:dyDescent="0.2">
      <c r="A112" s="215"/>
      <c r="B112" s="53">
        <f t="shared" si="45"/>
        <v>2020</v>
      </c>
      <c r="C112" s="52">
        <f>C111*(1-'MPS(input_Option1)'!$E$48)</f>
        <v>5814.1889433630686</v>
      </c>
      <c r="D112" s="52">
        <f>D111*(1-'MPS(input_Option1)'!$E$49)</f>
        <v>4725.9166219272029</v>
      </c>
      <c r="E112" s="52">
        <f>E111*(1-'MPS(input_Option1)'!$E$50)</f>
        <v>0</v>
      </c>
      <c r="F112" s="52">
        <f>F111*(1-'MPS(input_Option1)'!$E$51)</f>
        <v>3983.7566210918935</v>
      </c>
      <c r="G112" s="52">
        <f>G111*(1-'MPS(input_Option1)'!$E$52)</f>
        <v>176.96849306478012</v>
      </c>
      <c r="H112" s="52">
        <f>H111*(1-'MPS(input_Option1)'!$E$53)</f>
        <v>0</v>
      </c>
      <c r="I112" s="52">
        <f>I111*(1-'MPS(input_Option1)'!$E$54)</f>
        <v>0</v>
      </c>
      <c r="J112" s="52">
        <f>J111*(1-'MPS(input_Option1)'!$E$55)</f>
        <v>0</v>
      </c>
      <c r="K112" s="52">
        <f>K111*(1-'MPS(input_Option1)'!$E$56)</f>
        <v>466.31155857903747</v>
      </c>
      <c r="L112" s="52">
        <f>L111*(1-'MPS(input_Option1)'!$E$57)</f>
        <v>0</v>
      </c>
      <c r="M112" s="52">
        <f>M111*(1-'MPS(input_Option1)'!$E$58)</f>
        <v>0</v>
      </c>
      <c r="N112" s="52">
        <f t="shared" si="46"/>
        <v>1435.5472938931725</v>
      </c>
      <c r="O112" s="52">
        <f>IFERROR(C111*'MPS(input_Option1)'!$E$48*$BA112/$BB112*'MPS(input_Option1)'!$E$59,0)</f>
        <v>13555.330446285814</v>
      </c>
      <c r="P112" s="52">
        <f>IFERROR(D111*'MPS(input_Option1)'!$E$49*$BA112/$BB112*'MPS(input_Option1)'!$E$60,0)</f>
        <v>20359.327808241935</v>
      </c>
      <c r="Q112" s="52">
        <f>IFERROR(E111*'MPS(input_Option1)'!$E$50*$BA112/$BB112*'MPS(input_Option1)'!$E$61,0)</f>
        <v>0</v>
      </c>
      <c r="R112" s="52">
        <f>IFERROR(F111*'MPS(input_Option1)'!$E$51*$BA112/$BB112*'MPS(input_Option1)'!$E$62,0)</f>
        <v>6862.7273757099811</v>
      </c>
      <c r="S112" s="52">
        <f>IFERROR(G111*'MPS(input_Option1)'!$E$52*$BA112/$BB112*'MPS(input_Option1)'!$E$63,0)</f>
        <v>0</v>
      </c>
      <c r="T112" s="52">
        <f>IFERROR(H111*'MPS(input_Option1)'!$E$53*$BA112/$BB112*'MPS(input_Option1)'!$E$64,0)</f>
        <v>0</v>
      </c>
      <c r="U112" s="52">
        <f>IFERROR(I111*'MPS(input_Option1)'!$E$54*$BA112/$BB112*'MPS(input_Option1)'!$E$65,0)</f>
        <v>0</v>
      </c>
      <c r="V112" s="52">
        <f>IFERROR(J111*'MPS(input_Option1)'!$E$55*$BA112/$BB112*'MPS(input_Option1)'!$E$66,0)</f>
        <v>0</v>
      </c>
      <c r="W112" s="52">
        <f>IFERROR(K111*'MPS(input_Option1)'!$E$56*$BA112/$BB112*'MPS(input_Option1)'!$E$67,0)</f>
        <v>2141.2625952747958</v>
      </c>
      <c r="X112" s="52">
        <f>IFERROR(L111*'MPS(input_Option1)'!$E$57*$BA112/$BB112*'MPS(input_Option1)'!$E$68,0)</f>
        <v>0</v>
      </c>
      <c r="Y112" s="52">
        <f>IFERROR(M111*'MPS(input_Option1)'!$E$58*$BA112/$BB112*'MPS(input_Option1)'!$E$69,0)</f>
        <v>0</v>
      </c>
      <c r="Z112" s="73">
        <f>Z111*0.9</f>
        <v>258.03833070960002</v>
      </c>
      <c r="AA112" s="73">
        <f>AA111*0.9</f>
        <v>638.71511238359994</v>
      </c>
      <c r="AB112" s="73"/>
      <c r="AC112" s="73">
        <f>AC111*0.9</f>
        <v>64.265324994000011</v>
      </c>
      <c r="AD112" s="73">
        <f>AD111*0.9</f>
        <v>2.7</v>
      </c>
      <c r="AE112" s="73"/>
      <c r="AF112" s="73"/>
      <c r="AG112" s="73"/>
      <c r="AH112" s="73">
        <f>AH111*0.9</f>
        <v>54.367232074740002</v>
      </c>
      <c r="AI112" s="73"/>
      <c r="AJ112" s="73"/>
      <c r="AK112" s="73"/>
      <c r="AL112" s="52">
        <f>Z112*'MPS(input_Option1)'!$E$59</f>
        <v>23558.899593786482</v>
      </c>
      <c r="AM112" s="52">
        <f>AA112*'MPS(input_Option1)'!$E$60</f>
        <v>86296.798834148198</v>
      </c>
      <c r="AN112" s="52">
        <f>AB112*'MPS(input_Option1)'!$E$61</f>
        <v>0</v>
      </c>
      <c r="AO112" s="52">
        <f>AC112*'MPS(input_Option1)'!$E$62</f>
        <v>3098.2313179607404</v>
      </c>
      <c r="AP112" s="52">
        <f>AD112*'MPS(input_Option1)'!$E$63</f>
        <v>0</v>
      </c>
      <c r="AQ112" s="52">
        <f>AE112*'MPS(input_Option1)'!$E$64</f>
        <v>0</v>
      </c>
      <c r="AR112" s="52">
        <f>AF112*'MPS(input_Option1)'!$E$65</f>
        <v>0</v>
      </c>
      <c r="AS112" s="52">
        <f>ROUND(AG112*'MPS(input_Option1)'!$E$66,2)</f>
        <v>0</v>
      </c>
      <c r="AT112" s="52">
        <f>AH112*'MPS(input_Option1)'!$E$67</f>
        <v>2318.7624479876608</v>
      </c>
      <c r="AU112" s="52">
        <f>AI112*'MPS(input_Option1)'!$E$68</f>
        <v>0</v>
      </c>
      <c r="AV112" s="52">
        <f>AJ112*'MPS(input_Option1)'!$E$69</f>
        <v>0</v>
      </c>
      <c r="AW112" s="52">
        <f t="shared" si="47"/>
        <v>0</v>
      </c>
      <c r="AX112" s="95">
        <f t="shared" si="48"/>
        <v>157368.37682687928</v>
      </c>
      <c r="AY112" s="95">
        <f t="shared" si="49"/>
        <v>422666.53804423794</v>
      </c>
      <c r="AZ112" s="95">
        <f t="shared" si="50"/>
        <v>265298.16121735866</v>
      </c>
      <c r="BA112" s="95">
        <f>'MPS(input_RL_Opt1)'!AB10</f>
        <v>366</v>
      </c>
      <c r="BB112" s="95">
        <f>'MPS(input_RL_Opt1)'!AC10</f>
        <v>366</v>
      </c>
    </row>
    <row r="113" spans="1:54" x14ac:dyDescent="0.2">
      <c r="A113" s="215"/>
      <c r="B113" s="53">
        <f t="shared" si="45"/>
        <v>2021</v>
      </c>
      <c r="C113" s="52">
        <f>C112*(1-'MPS(input_Option1)'!$E$48)</f>
        <v>5669.4156386733275</v>
      </c>
      <c r="D113" s="52">
        <f>D112*(1-'MPS(input_Option1)'!$E$49)</f>
        <v>4579.8857983096523</v>
      </c>
      <c r="E113" s="52">
        <f>E112*(1-'MPS(input_Option1)'!$E$50)</f>
        <v>0</v>
      </c>
      <c r="F113" s="52">
        <f>F112*(1-'MPS(input_Option1)'!$E$51)</f>
        <v>3846.3170176642234</v>
      </c>
      <c r="G113" s="52">
        <f>G112*(1-'MPS(input_Option1)'!$E$52)</f>
        <v>174.47323731256671</v>
      </c>
      <c r="H113" s="52">
        <f>H112*(1-'MPS(input_Option1)'!$E$53)</f>
        <v>0</v>
      </c>
      <c r="I113" s="52">
        <f>I112*(1-'MPS(input_Option1)'!$E$54)</f>
        <v>0</v>
      </c>
      <c r="J113" s="52">
        <f>J112*(1-'MPS(input_Option1)'!$E$55)</f>
        <v>0</v>
      </c>
      <c r="K113" s="52">
        <f>K112*(1-'MPS(input_Option1)'!$E$56)</f>
        <v>420.98607508515505</v>
      </c>
      <c r="L113" s="52">
        <f>L112*(1-'MPS(input_Option1)'!$E$57)</f>
        <v>0</v>
      </c>
      <c r="M113" s="52">
        <f>M112*(1-'MPS(input_Option1)'!$E$58)</f>
        <v>0</v>
      </c>
      <c r="N113" s="52">
        <f t="shared" si="46"/>
        <v>1911.6117648742329</v>
      </c>
      <c r="O113" s="52">
        <f>IFERROR(C112*'MPS(input_Option1)'!$E$48*$BA113/$BB113*'MPS(input_Option1)'!$E$59,0)</f>
        <v>13217.802718173298</v>
      </c>
      <c r="P113" s="52">
        <f>IFERROR(D112*'MPS(input_Option1)'!$E$49*$BA113/$BB113*'MPS(input_Option1)'!$E$60,0)</f>
        <v>19730.22457896726</v>
      </c>
      <c r="Q113" s="52">
        <f>IFERROR(E112*'MPS(input_Option1)'!$E$50*$BA113/$BB113*'MPS(input_Option1)'!$E$61,0)</f>
        <v>0</v>
      </c>
      <c r="R113" s="52">
        <f>IFERROR(F112*'MPS(input_Option1)'!$E$51*$BA113/$BB113*'MPS(input_Option1)'!$E$62,0)</f>
        <v>6625.9632812479867</v>
      </c>
      <c r="S113" s="52">
        <f>IFERROR(G112*'MPS(input_Option1)'!$E$52*$BA113/$BB113*'MPS(input_Option1)'!$E$63,0)</f>
        <v>0</v>
      </c>
      <c r="T113" s="52">
        <f>IFERROR(H112*'MPS(input_Option1)'!$E$53*$BA113/$BB113*'MPS(input_Option1)'!$E$64,0)</f>
        <v>0</v>
      </c>
      <c r="U113" s="52">
        <f>IFERROR(I112*'MPS(input_Option1)'!$E$54*$BA113/$BB113*'MPS(input_Option1)'!$E$65,0)</f>
        <v>0</v>
      </c>
      <c r="V113" s="52">
        <f>IFERROR(J112*'MPS(input_Option1)'!$E$55*$BA113/$BB113*'MPS(input_Option1)'!$E$66,0)</f>
        <v>0</v>
      </c>
      <c r="W113" s="52">
        <f>IFERROR(K112*'MPS(input_Option1)'!$E$56*$BA113/$BB113*'MPS(input_Option1)'!$E$67,0)</f>
        <v>1933.1318710140858</v>
      </c>
      <c r="X113" s="52">
        <f>IFERROR(L112*'MPS(input_Option1)'!$E$57*$BA113/$BB113*'MPS(input_Option1)'!$E$68,0)</f>
        <v>0</v>
      </c>
      <c r="Y113" s="52">
        <f>IFERROR(M112*'MPS(input_Option1)'!$E$58*$BA113/$BB113*'MPS(input_Option1)'!$E$69,0)</f>
        <v>0</v>
      </c>
      <c r="Z113" s="73">
        <f t="shared" ref="Z113:AA116" si="51">Z112*0.9</f>
        <v>232.23449763864002</v>
      </c>
      <c r="AA113" s="73">
        <f t="shared" si="51"/>
        <v>574.84360114523997</v>
      </c>
      <c r="AB113" s="73"/>
      <c r="AC113" s="73">
        <f t="shared" ref="AC113:AD116" si="52">AC112*0.9</f>
        <v>57.838792494600014</v>
      </c>
      <c r="AD113" s="73">
        <f t="shared" si="52"/>
        <v>2.4300000000000002</v>
      </c>
      <c r="AE113" s="73"/>
      <c r="AF113" s="73"/>
      <c r="AG113" s="73"/>
      <c r="AH113" s="73">
        <f t="shared" ref="AH113:AH116" si="53">AH112*0.9</f>
        <v>48.930508867266006</v>
      </c>
      <c r="AI113" s="73"/>
      <c r="AJ113" s="73"/>
      <c r="AK113" s="73"/>
      <c r="AL113" s="52">
        <f>Z113*'MPS(input_Option1)'!$E$59</f>
        <v>21203.009634407834</v>
      </c>
      <c r="AM113" s="52">
        <f>AA113*'MPS(input_Option1)'!$E$60</f>
        <v>77667.118950733377</v>
      </c>
      <c r="AN113" s="52">
        <f>AB113*'MPS(input_Option1)'!$E$61</f>
        <v>0</v>
      </c>
      <c r="AO113" s="52">
        <f>AC113*'MPS(input_Option1)'!$E$62</f>
        <v>2788.4081861646669</v>
      </c>
      <c r="AP113" s="52">
        <f>AD113*'MPS(input_Option1)'!$E$63</f>
        <v>0</v>
      </c>
      <c r="AQ113" s="52">
        <f>AE113*'MPS(input_Option1)'!$E$64</f>
        <v>0</v>
      </c>
      <c r="AR113" s="52">
        <f>AF113*'MPS(input_Option1)'!$E$65</f>
        <v>0</v>
      </c>
      <c r="AS113" s="52">
        <f>ROUND(AG113*'MPS(input_Option1)'!$E$66,2)</f>
        <v>0</v>
      </c>
      <c r="AT113" s="52">
        <f>AH113*'MPS(input_Option1)'!$E$67</f>
        <v>2086.8862031888953</v>
      </c>
      <c r="AU113" s="52">
        <f>AI113*'MPS(input_Option1)'!$E$68</f>
        <v>0</v>
      </c>
      <c r="AV113" s="52">
        <f>AJ113*'MPS(input_Option1)'!$E$69</f>
        <v>0</v>
      </c>
      <c r="AW113" s="52">
        <f t="shared" si="47"/>
        <v>0</v>
      </c>
      <c r="AX113" s="95">
        <f t="shared" si="48"/>
        <v>152192.78231447632</v>
      </c>
      <c r="AY113" s="95">
        <f t="shared" si="49"/>
        <v>380399.88423981419</v>
      </c>
      <c r="AZ113" s="95">
        <f t="shared" si="50"/>
        <v>228207.10192533786</v>
      </c>
      <c r="BA113" s="95">
        <f>'MPS(input_RL_Opt1)'!AB11</f>
        <v>365</v>
      </c>
      <c r="BB113" s="95">
        <f>'MPS(input_RL_Opt1)'!AC11</f>
        <v>365</v>
      </c>
    </row>
    <row r="114" spans="1:54" x14ac:dyDescent="0.2">
      <c r="A114" s="215"/>
      <c r="B114" s="53">
        <f t="shared" si="45"/>
        <v>2022</v>
      </c>
      <c r="C114" s="52">
        <f>C113*(1-'MPS(input_Option1)'!$E$48)</f>
        <v>5528.2471892703616</v>
      </c>
      <c r="D114" s="52">
        <f>D113*(1-'MPS(input_Option1)'!$E$49)</f>
        <v>4438.3673271418838</v>
      </c>
      <c r="E114" s="52">
        <f>E113*(1-'MPS(input_Option1)'!$E$50)</f>
        <v>0</v>
      </c>
      <c r="F114" s="52">
        <f>F113*(1-'MPS(input_Option1)'!$E$51)</f>
        <v>3713.6190805548076</v>
      </c>
      <c r="G114" s="52">
        <f>G113*(1-'MPS(input_Option1)'!$E$52)</f>
        <v>172.01316466645952</v>
      </c>
      <c r="H114" s="52">
        <f>H113*(1-'MPS(input_Option1)'!$E$53)</f>
        <v>0</v>
      </c>
      <c r="I114" s="52">
        <f>I113*(1-'MPS(input_Option1)'!$E$54)</f>
        <v>0</v>
      </c>
      <c r="J114" s="52">
        <f>J113*(1-'MPS(input_Option1)'!$E$55)</f>
        <v>0</v>
      </c>
      <c r="K114" s="52">
        <f>K113*(1-'MPS(input_Option1)'!$E$56)</f>
        <v>380.06622858687803</v>
      </c>
      <c r="L114" s="52">
        <f>L113*(1-'MPS(input_Option1)'!$E$57)</f>
        <v>0</v>
      </c>
      <c r="M114" s="52">
        <f>M113*(1-'MPS(input_Option1)'!$E$58)</f>
        <v>0</v>
      </c>
      <c r="N114" s="52">
        <f t="shared" si="46"/>
        <v>2370.3765416987662</v>
      </c>
      <c r="O114" s="52">
        <f>IFERROR(C113*'MPS(input_Option1)'!$E$48*$BA114/$BB114*'MPS(input_Option1)'!$E$59,0)</f>
        <v>12888.679430490782</v>
      </c>
      <c r="P114" s="52">
        <f>IFERROR(D113*'MPS(input_Option1)'!$E$49*$BA114/$BB114*'MPS(input_Option1)'!$E$60,0)</f>
        <v>19120.560639477171</v>
      </c>
      <c r="Q114" s="52">
        <f>IFERROR(E113*'MPS(input_Option1)'!$E$50*$BA114/$BB114*'MPS(input_Option1)'!$E$61,0)</f>
        <v>0</v>
      </c>
      <c r="R114" s="52">
        <f>IFERROR(F113*'MPS(input_Option1)'!$E$51*$BA114/$BB114*'MPS(input_Option1)'!$E$62,0)</f>
        <v>6397.367548044931</v>
      </c>
      <c r="S114" s="52">
        <f>IFERROR(G113*'MPS(input_Option1)'!$E$52*$BA114/$BB114*'MPS(input_Option1)'!$E$63,0)</f>
        <v>0</v>
      </c>
      <c r="T114" s="52">
        <f>IFERROR(H113*'MPS(input_Option1)'!$E$53*$BA114/$BB114*'MPS(input_Option1)'!$E$64,0)</f>
        <v>0</v>
      </c>
      <c r="U114" s="52">
        <f>IFERROR(I113*'MPS(input_Option1)'!$E$54*$BA114/$BB114*'MPS(input_Option1)'!$E$65,0)</f>
        <v>0</v>
      </c>
      <c r="V114" s="52">
        <f>IFERROR(J113*'MPS(input_Option1)'!$E$55*$BA114/$BB114*'MPS(input_Option1)'!$E$66,0)</f>
        <v>0</v>
      </c>
      <c r="W114" s="52">
        <f>IFERROR(K113*'MPS(input_Option1)'!$E$56*$BA114/$BB114*'MPS(input_Option1)'!$E$67,0)</f>
        <v>1745.2314531515169</v>
      </c>
      <c r="X114" s="52">
        <f>IFERROR(L113*'MPS(input_Option1)'!$E$57*$BA114/$BB114*'MPS(input_Option1)'!$E$68,0)</f>
        <v>0</v>
      </c>
      <c r="Y114" s="52">
        <f>IFERROR(M113*'MPS(input_Option1)'!$E$58*$BA114/$BB114*'MPS(input_Option1)'!$E$69,0)</f>
        <v>0</v>
      </c>
      <c r="Z114" s="73">
        <f t="shared" si="51"/>
        <v>209.01104787477601</v>
      </c>
      <c r="AA114" s="73">
        <f t="shared" si="51"/>
        <v>517.35924103071602</v>
      </c>
      <c r="AB114" s="73"/>
      <c r="AC114" s="73">
        <f t="shared" si="52"/>
        <v>52.054913245140014</v>
      </c>
      <c r="AD114" s="73">
        <f t="shared" si="52"/>
        <v>2.1870000000000003</v>
      </c>
      <c r="AE114" s="73"/>
      <c r="AF114" s="73"/>
      <c r="AG114" s="73"/>
      <c r="AH114" s="73">
        <f t="shared" si="53"/>
        <v>44.037457980539408</v>
      </c>
      <c r="AI114" s="73"/>
      <c r="AJ114" s="73"/>
      <c r="AK114" s="73"/>
      <c r="AL114" s="52">
        <f>Z114*'MPS(input_Option1)'!$E$59</f>
        <v>19082.708670967048</v>
      </c>
      <c r="AM114" s="52">
        <f>AA114*'MPS(input_Option1)'!$E$60</f>
        <v>69900.407055660049</v>
      </c>
      <c r="AN114" s="52">
        <f>AB114*'MPS(input_Option1)'!$E$61</f>
        <v>0</v>
      </c>
      <c r="AO114" s="52">
        <f>AC114*'MPS(input_Option1)'!$E$62</f>
        <v>2509.5673675482003</v>
      </c>
      <c r="AP114" s="52">
        <f>AD114*'MPS(input_Option1)'!$E$63</f>
        <v>0</v>
      </c>
      <c r="AQ114" s="52">
        <f>AE114*'MPS(input_Option1)'!$E$64</f>
        <v>0</v>
      </c>
      <c r="AR114" s="52">
        <f>AF114*'MPS(input_Option1)'!$E$65</f>
        <v>0</v>
      </c>
      <c r="AS114" s="52">
        <f>ROUND(AG114*'MPS(input_Option1)'!$E$66,2)</f>
        <v>0</v>
      </c>
      <c r="AT114" s="52">
        <f>AH114*'MPS(input_Option1)'!$E$67</f>
        <v>1878.1975828700056</v>
      </c>
      <c r="AU114" s="52">
        <f>AI114*'MPS(input_Option1)'!$E$68</f>
        <v>0</v>
      </c>
      <c r="AV114" s="52">
        <f>AJ114*'MPS(input_Option1)'!$E$69</f>
        <v>0</v>
      </c>
      <c r="AW114" s="52">
        <f t="shared" si="47"/>
        <v>0</v>
      </c>
      <c r="AX114" s="95">
        <f t="shared" si="48"/>
        <v>147223.4099276028</v>
      </c>
      <c r="AY114" s="95">
        <f t="shared" si="49"/>
        <v>342359.89581583272</v>
      </c>
      <c r="AZ114" s="95">
        <f t="shared" si="50"/>
        <v>195136.48588822992</v>
      </c>
      <c r="BA114" s="95">
        <f>'MPS(input_RL_Opt1)'!AB12</f>
        <v>365</v>
      </c>
      <c r="BB114" s="95">
        <f>'MPS(input_RL_Opt1)'!AC12</f>
        <v>365</v>
      </c>
    </row>
    <row r="115" spans="1:54" x14ac:dyDescent="0.2">
      <c r="A115" s="215"/>
      <c r="B115" s="53">
        <f t="shared" si="45"/>
        <v>2023</v>
      </c>
      <c r="C115" s="52">
        <f>C114*(1-'MPS(input_Option1)'!$E$48)</f>
        <v>5390.5938342575291</v>
      </c>
      <c r="D115" s="52">
        <f>D114*(1-'MPS(input_Option1)'!$E$49)</f>
        <v>4301.2217767331995</v>
      </c>
      <c r="E115" s="52">
        <f>E114*(1-'MPS(input_Option1)'!$E$50)</f>
        <v>0</v>
      </c>
      <c r="F115" s="52">
        <f>F114*(1-'MPS(input_Option1)'!$E$51)</f>
        <v>3585.4992222756669</v>
      </c>
      <c r="G115" s="52">
        <f>G114*(1-'MPS(input_Option1)'!$E$52)</f>
        <v>169.58777904466243</v>
      </c>
      <c r="H115" s="52">
        <f>H114*(1-'MPS(input_Option1)'!$E$53)</f>
        <v>0</v>
      </c>
      <c r="I115" s="52">
        <f>I114*(1-'MPS(input_Option1)'!$E$54)</f>
        <v>0</v>
      </c>
      <c r="J115" s="52">
        <f>J114*(1-'MPS(input_Option1)'!$E$55)</f>
        <v>0</v>
      </c>
      <c r="K115" s="52">
        <f>K114*(1-'MPS(input_Option1)'!$E$56)</f>
        <v>343.12379116823348</v>
      </c>
      <c r="L115" s="52">
        <f>L114*(1-'MPS(input_Option1)'!$E$57)</f>
        <v>0</v>
      </c>
      <c r="M115" s="52">
        <f>M114*(1-'MPS(input_Option1)'!$E$58)</f>
        <v>0</v>
      </c>
      <c r="N115" s="52">
        <f t="shared" si="46"/>
        <v>2812.6631284398663</v>
      </c>
      <c r="O115" s="52">
        <f>IFERROR(C114*'MPS(input_Option1)'!$E$48*$BA115/$BB115*'MPS(input_Option1)'!$E$59,0)</f>
        <v>12567.751312671562</v>
      </c>
      <c r="P115" s="52">
        <f>IFERROR(D114*'MPS(input_Option1)'!$E$49*$BA115/$BB115*'MPS(input_Option1)'!$E$60,0)</f>
        <v>18529.735315717327</v>
      </c>
      <c r="Q115" s="52">
        <f>IFERROR(E114*'MPS(input_Option1)'!$E$50*$BA115/$BB115*'MPS(input_Option1)'!$E$61,0)</f>
        <v>0</v>
      </c>
      <c r="R115" s="52">
        <f>IFERROR(F114*'MPS(input_Option1)'!$E$51*$BA115/$BB115*'MPS(input_Option1)'!$E$62,0)</f>
        <v>6176.6583676373821</v>
      </c>
      <c r="S115" s="52">
        <f>IFERROR(G114*'MPS(input_Option1)'!$E$52*$BA115/$BB115*'MPS(input_Option1)'!$E$63,0)</f>
        <v>0</v>
      </c>
      <c r="T115" s="52">
        <f>IFERROR(H114*'MPS(input_Option1)'!$E$53*$BA115/$BB115*'MPS(input_Option1)'!$E$64,0)</f>
        <v>0</v>
      </c>
      <c r="U115" s="52">
        <f>IFERROR(I114*'MPS(input_Option1)'!$E$54*$BA115/$BB115*'MPS(input_Option1)'!$E$65,0)</f>
        <v>0</v>
      </c>
      <c r="V115" s="52">
        <f>IFERROR(J114*'MPS(input_Option1)'!$E$55*$BA115/$BB115*'MPS(input_Option1)'!$E$66,0)</f>
        <v>0</v>
      </c>
      <c r="W115" s="52">
        <f>IFERROR(K114*'MPS(input_Option1)'!$E$56*$BA115/$BB115*'MPS(input_Option1)'!$E$67,0)</f>
        <v>1575.5949559051899</v>
      </c>
      <c r="X115" s="52">
        <f>IFERROR(L114*'MPS(input_Option1)'!$E$57*$BA115/$BB115*'MPS(input_Option1)'!$E$68,0)</f>
        <v>0</v>
      </c>
      <c r="Y115" s="52">
        <f>IFERROR(M114*'MPS(input_Option1)'!$E$58*$BA115/$BB115*'MPS(input_Option1)'!$E$69,0)</f>
        <v>0</v>
      </c>
      <c r="Z115" s="73">
        <f t="shared" si="51"/>
        <v>188.1099430872984</v>
      </c>
      <c r="AA115" s="73">
        <f t="shared" si="51"/>
        <v>465.62331692764445</v>
      </c>
      <c r="AB115" s="73"/>
      <c r="AC115" s="73">
        <f t="shared" si="52"/>
        <v>46.849421920626014</v>
      </c>
      <c r="AD115" s="73">
        <f t="shared" si="52"/>
        <v>1.9683000000000004</v>
      </c>
      <c r="AE115" s="73"/>
      <c r="AF115" s="73"/>
      <c r="AG115" s="73"/>
      <c r="AH115" s="73">
        <f t="shared" si="53"/>
        <v>39.633712182485468</v>
      </c>
      <c r="AI115" s="73"/>
      <c r="AJ115" s="73"/>
      <c r="AK115" s="73"/>
      <c r="AL115" s="52">
        <f>Z115*'MPS(input_Option1)'!$E$59</f>
        <v>17174.437803870343</v>
      </c>
      <c r="AM115" s="52">
        <f>AA115*'MPS(input_Option1)'!$E$60</f>
        <v>62910.366350094046</v>
      </c>
      <c r="AN115" s="52">
        <f>AB115*'MPS(input_Option1)'!$E$61</f>
        <v>0</v>
      </c>
      <c r="AO115" s="52">
        <f>AC115*'MPS(input_Option1)'!$E$62</f>
        <v>2258.6106307933801</v>
      </c>
      <c r="AP115" s="52">
        <f>AD115*'MPS(input_Option1)'!$E$63</f>
        <v>0</v>
      </c>
      <c r="AQ115" s="52">
        <f>AE115*'MPS(input_Option1)'!$E$64</f>
        <v>0</v>
      </c>
      <c r="AR115" s="52">
        <f>AF115*'MPS(input_Option1)'!$E$65</f>
        <v>0</v>
      </c>
      <c r="AS115" s="52">
        <f>ROUND(AG115*'MPS(input_Option1)'!$E$66,2)</f>
        <v>0</v>
      </c>
      <c r="AT115" s="52">
        <f>AH115*'MPS(input_Option1)'!$E$67</f>
        <v>1690.3778245830051</v>
      </c>
      <c r="AU115" s="52">
        <f>AI115*'MPS(input_Option1)'!$E$68</f>
        <v>0</v>
      </c>
      <c r="AV115" s="52">
        <f>AJ115*'MPS(input_Option1)'!$E$69</f>
        <v>0</v>
      </c>
      <c r="AW115" s="52">
        <f t="shared" si="47"/>
        <v>0</v>
      </c>
      <c r="AX115" s="95">
        <f t="shared" si="48"/>
        <v>142449.04649041535</v>
      </c>
      <c r="AY115" s="95">
        <f t="shared" si="49"/>
        <v>308123.90623424947</v>
      </c>
      <c r="AZ115" s="95">
        <f t="shared" si="50"/>
        <v>165674.85974383412</v>
      </c>
      <c r="BA115" s="95">
        <f>'MPS(input_RL_Opt1)'!AB13</f>
        <v>365</v>
      </c>
      <c r="BB115" s="95">
        <f>'MPS(input_RL_Opt1)'!AC13</f>
        <v>365</v>
      </c>
    </row>
    <row r="116" spans="1:54" x14ac:dyDescent="0.2">
      <c r="A116" s="215"/>
      <c r="B116" s="53">
        <f t="shared" si="45"/>
        <v>2024</v>
      </c>
      <c r="C116" s="52">
        <f>C115*(1-'MPS(input_Option1)'!$E$48)</f>
        <v>5256.3680477845164</v>
      </c>
      <c r="D116" s="52">
        <f>D115*(1-'MPS(input_Option1)'!$E$49)</f>
        <v>4168.314023832143</v>
      </c>
      <c r="E116" s="52">
        <f>E115*(1-'MPS(input_Option1)'!$E$50)</f>
        <v>0</v>
      </c>
      <c r="F116" s="52">
        <f>F115*(1-'MPS(input_Option1)'!$E$51)</f>
        <v>3461.7994991071564</v>
      </c>
      <c r="G116" s="52">
        <f>G115*(1-'MPS(input_Option1)'!$E$52)</f>
        <v>167.19659136013269</v>
      </c>
      <c r="H116" s="52">
        <f>H115*(1-'MPS(input_Option1)'!$E$53)</f>
        <v>0</v>
      </c>
      <c r="I116" s="52">
        <f>I115*(1-'MPS(input_Option1)'!$E$54)</f>
        <v>0</v>
      </c>
      <c r="J116" s="52">
        <f>J115*(1-'MPS(input_Option1)'!$E$55)</f>
        <v>0</v>
      </c>
      <c r="K116" s="52">
        <f>K115*(1-'MPS(input_Option1)'!$E$56)</f>
        <v>309.77215866668121</v>
      </c>
      <c r="L116" s="52">
        <f>L115*(1-'MPS(input_Option1)'!$E$57)</f>
        <v>0</v>
      </c>
      <c r="M116" s="52">
        <f>M115*(1-'MPS(input_Option1)'!$E$58)</f>
        <v>0</v>
      </c>
      <c r="N116" s="52">
        <f t="shared" si="46"/>
        <v>3239.2392111685276</v>
      </c>
      <c r="O116" s="52">
        <f>IFERROR(C115*'MPS(input_Option1)'!$E$48*$BA116/$BB116*'MPS(input_Option1)'!$E$59,0)</f>
        <v>12254.814304986039</v>
      </c>
      <c r="P116" s="52">
        <f>IFERROR(D115*'MPS(input_Option1)'!$E$49*$BA116/$BB116*'MPS(input_Option1)'!$E$60,0)</f>
        <v>17957.16649446166</v>
      </c>
      <c r="Q116" s="52">
        <f>IFERROR(E115*'MPS(input_Option1)'!$E$50*$BA116/$BB116*'MPS(input_Option1)'!$E$61,0)</f>
        <v>0</v>
      </c>
      <c r="R116" s="52">
        <f>IFERROR(F115*'MPS(input_Option1)'!$E$51*$BA116/$BB116*'MPS(input_Option1)'!$E$62,0)</f>
        <v>5963.5636539538918</v>
      </c>
      <c r="S116" s="52">
        <f>IFERROR(G115*'MPS(input_Option1)'!$E$52*$BA116/$BB116*'MPS(input_Option1)'!$E$63,0)</f>
        <v>0</v>
      </c>
      <c r="T116" s="52">
        <f>IFERROR(H115*'MPS(input_Option1)'!$E$53*$BA116/$BB116*'MPS(input_Option1)'!$E$64,0)</f>
        <v>0</v>
      </c>
      <c r="U116" s="52">
        <f>IFERROR(I115*'MPS(input_Option1)'!$E$54*$BA116/$BB116*'MPS(input_Option1)'!$E$65,0)</f>
        <v>0</v>
      </c>
      <c r="V116" s="52">
        <f>IFERROR(J115*'MPS(input_Option1)'!$E$55*$BA116/$BB116*'MPS(input_Option1)'!$E$66,0)</f>
        <v>0</v>
      </c>
      <c r="W116" s="52">
        <f>IFERROR(K115*'MPS(input_Option1)'!$E$56*$BA116/$BB116*'MPS(input_Option1)'!$E$67,0)</f>
        <v>1422.4471261912054</v>
      </c>
      <c r="X116" s="52">
        <f>IFERROR(L115*'MPS(input_Option1)'!$E$57*$BA116/$BB116*'MPS(input_Option1)'!$E$68,0)</f>
        <v>0</v>
      </c>
      <c r="Y116" s="52">
        <f>IFERROR(M115*'MPS(input_Option1)'!$E$58*$BA116/$BB116*'MPS(input_Option1)'!$E$69,0)</f>
        <v>0</v>
      </c>
      <c r="Z116" s="73">
        <f t="shared" si="51"/>
        <v>169.29894877856856</v>
      </c>
      <c r="AA116" s="73">
        <f t="shared" si="51"/>
        <v>419.06098523488004</v>
      </c>
      <c r="AB116" s="73"/>
      <c r="AC116" s="73">
        <f t="shared" si="52"/>
        <v>42.164479728563414</v>
      </c>
      <c r="AD116" s="73">
        <f t="shared" si="52"/>
        <v>1.7714700000000003</v>
      </c>
      <c r="AE116" s="73"/>
      <c r="AF116" s="73"/>
      <c r="AG116" s="73"/>
      <c r="AH116" s="73">
        <f t="shared" si="53"/>
        <v>35.670340964236921</v>
      </c>
      <c r="AI116" s="73"/>
      <c r="AJ116" s="73"/>
      <c r="AK116" s="73"/>
      <c r="AL116" s="52">
        <f>Z116*'MPS(input_Option1)'!$E$59</f>
        <v>15456.994023483308</v>
      </c>
      <c r="AM116" s="52">
        <f>AA116*'MPS(input_Option1)'!$E$60</f>
        <v>56619.329715084648</v>
      </c>
      <c r="AN116" s="52">
        <f>AB116*'MPS(input_Option1)'!$E$61</f>
        <v>0</v>
      </c>
      <c r="AO116" s="52">
        <f>AC116*'MPS(input_Option1)'!$E$62</f>
        <v>2032.7495677140423</v>
      </c>
      <c r="AP116" s="52">
        <f>AD116*'MPS(input_Option1)'!$E$63</f>
        <v>0</v>
      </c>
      <c r="AQ116" s="52">
        <f>AE116*'MPS(input_Option1)'!$E$64</f>
        <v>0</v>
      </c>
      <c r="AR116" s="52">
        <f>AF116*'MPS(input_Option1)'!$E$65</f>
        <v>0</v>
      </c>
      <c r="AS116" s="52">
        <f>ROUND(AG116*'MPS(input_Option1)'!$E$66,2)</f>
        <v>0</v>
      </c>
      <c r="AT116" s="52">
        <f>AH116*'MPS(input_Option1)'!$E$67</f>
        <v>1521.3400421247047</v>
      </c>
      <c r="AU116" s="52">
        <f>AI116*'MPS(input_Option1)'!$E$68</f>
        <v>0</v>
      </c>
      <c r="AV116" s="52">
        <f>AJ116*'MPS(input_Option1)'!$E$69</f>
        <v>0</v>
      </c>
      <c r="AW116" s="52">
        <f t="shared" si="47"/>
        <v>0</v>
      </c>
      <c r="AX116" s="95">
        <f t="shared" si="48"/>
        <v>137859.30245850692</v>
      </c>
      <c r="AY116" s="95">
        <f t="shared" si="49"/>
        <v>277311.51561082457</v>
      </c>
      <c r="AZ116" s="95">
        <f t="shared" si="50"/>
        <v>139452.21315231765</v>
      </c>
      <c r="BA116" s="95">
        <f>'MPS(input_RL_Opt1)'!AB14</f>
        <v>366</v>
      </c>
      <c r="BB116" s="95">
        <f>'MPS(input_RL_Opt1)'!AC14</f>
        <v>366</v>
      </c>
    </row>
    <row r="117" spans="1:54" x14ac:dyDescent="0.2">
      <c r="A117" s="215"/>
      <c r="B117" s="53">
        <f t="shared" si="45"/>
        <v>2025</v>
      </c>
      <c r="C117" s="52">
        <f>C116*(1-'MPS(input_Option1)'!$E$48)</f>
        <v>5125.4844833946818</v>
      </c>
      <c r="D117" s="52">
        <f>D116*(1-'MPS(input_Option1)'!$E$49)</f>
        <v>4039.5131204957297</v>
      </c>
      <c r="E117" s="52">
        <f>E116*(1-'MPS(input_Option1)'!$E$50)</f>
        <v>0</v>
      </c>
      <c r="F117" s="52">
        <f>F116*(1-'MPS(input_Option1)'!$E$51)</f>
        <v>3342.3674163879596</v>
      </c>
      <c r="G117" s="52">
        <f>G116*(1-'MPS(input_Option1)'!$E$52)</f>
        <v>164.83911942195482</v>
      </c>
      <c r="H117" s="52">
        <f>H116*(1-'MPS(input_Option1)'!$E$53)</f>
        <v>0</v>
      </c>
      <c r="I117" s="52">
        <f>I116*(1-'MPS(input_Option1)'!$E$54)</f>
        <v>0</v>
      </c>
      <c r="J117" s="52">
        <f>J116*(1-'MPS(input_Option1)'!$E$55)</f>
        <v>0</v>
      </c>
      <c r="K117" s="52">
        <f>K116*(1-'MPS(input_Option1)'!$E$56)</f>
        <v>279.66230484427979</v>
      </c>
      <c r="L117" s="52">
        <f>L116*(1-'MPS(input_Option1)'!$E$57)</f>
        <v>0</v>
      </c>
      <c r="M117" s="52">
        <f>M116*(1-'MPS(input_Option1)'!$E$58)</f>
        <v>0</v>
      </c>
      <c r="N117" s="52">
        <f t="shared" si="46"/>
        <v>3650.8230873745506</v>
      </c>
      <c r="O117" s="52">
        <f>IFERROR(C116*'MPS(input_Option1)'!$E$48*$BA117/$BB117*'MPS(input_Option1)'!$E$59,0)</f>
        <v>11949.669428791885</v>
      </c>
      <c r="P117" s="52">
        <f>IFERROR(D116*'MPS(input_Option1)'!$E$49*$BA117/$BB117*'MPS(input_Option1)'!$E$60,0)</f>
        <v>17402.290049782794</v>
      </c>
      <c r="Q117" s="52">
        <f>IFERROR(E116*'MPS(input_Option1)'!$E$50*$BA117/$BB117*'MPS(input_Option1)'!$E$61,0)</f>
        <v>0</v>
      </c>
      <c r="R117" s="52">
        <f>IFERROR(F116*'MPS(input_Option1)'!$E$51*$BA117/$BB117*'MPS(input_Option1)'!$E$62,0)</f>
        <v>5757.8207078924834</v>
      </c>
      <c r="S117" s="52">
        <f>IFERROR(G116*'MPS(input_Option1)'!$E$52*$BA117/$BB117*'MPS(input_Option1)'!$E$63,0)</f>
        <v>0</v>
      </c>
      <c r="T117" s="52">
        <f>IFERROR(H116*'MPS(input_Option1)'!$E$53*$BA117/$BB117*'MPS(input_Option1)'!$E$64,0)</f>
        <v>0</v>
      </c>
      <c r="U117" s="52">
        <f>IFERROR(I116*'MPS(input_Option1)'!$E$54*$BA117/$BB117*'MPS(input_Option1)'!$E$65,0)</f>
        <v>0</v>
      </c>
      <c r="V117" s="52">
        <f>IFERROR(J116*'MPS(input_Option1)'!$E$55*$BA117/$BB117*'MPS(input_Option1)'!$E$66,0)</f>
        <v>0</v>
      </c>
      <c r="W117" s="52">
        <f>IFERROR(K116*'MPS(input_Option1)'!$E$56*$BA117/$BB117*'MPS(input_Option1)'!$E$67,0)</f>
        <v>1284.1852655254204</v>
      </c>
      <c r="X117" s="52">
        <f>IFERROR(L116*'MPS(input_Option1)'!$E$57*$BA117/$BB117*'MPS(input_Option1)'!$E$68,0)</f>
        <v>0</v>
      </c>
      <c r="Y117" s="52">
        <f>IFERROR(M116*'MPS(input_Option1)'!$E$58*$BA117/$BB117*'MPS(input_Option1)'!$E$69,0)</f>
        <v>0</v>
      </c>
      <c r="Z117" s="73">
        <f>Z116*0.8</f>
        <v>135.43915902285485</v>
      </c>
      <c r="AA117" s="73">
        <f>AA116*0.8</f>
        <v>335.24878818790404</v>
      </c>
      <c r="AB117" s="73"/>
      <c r="AC117" s="73">
        <f>AC116*0.8</f>
        <v>33.731583782850734</v>
      </c>
      <c r="AD117" s="73">
        <f>AD116*0.8</f>
        <v>1.4171760000000004</v>
      </c>
      <c r="AE117" s="73"/>
      <c r="AF117" s="73"/>
      <c r="AG117" s="73"/>
      <c r="AH117" s="73">
        <f>AH116*0.8</f>
        <v>28.536272771389537</v>
      </c>
      <c r="AI117" s="73"/>
      <c r="AJ117" s="73"/>
      <c r="AK117" s="73"/>
      <c r="AL117" s="52">
        <f>Z117*'MPS(input_Option1)'!$E$59</f>
        <v>12365.595218786648</v>
      </c>
      <c r="AM117" s="52">
        <f>AA117*'MPS(input_Option1)'!$E$60</f>
        <v>45295.46377206772</v>
      </c>
      <c r="AN117" s="52">
        <f>AB117*'MPS(input_Option1)'!$E$61</f>
        <v>0</v>
      </c>
      <c r="AO117" s="52">
        <f>AC117*'MPS(input_Option1)'!$E$62</f>
        <v>1626.199654171234</v>
      </c>
      <c r="AP117" s="52">
        <f>AD117*'MPS(input_Option1)'!$E$63</f>
        <v>0</v>
      </c>
      <c r="AQ117" s="52">
        <f>AE117*'MPS(input_Option1)'!$E$64</f>
        <v>0</v>
      </c>
      <c r="AR117" s="52">
        <f>AF117*'MPS(input_Option1)'!$E$65</f>
        <v>0</v>
      </c>
      <c r="AS117" s="52">
        <f>ROUND(AG117*'MPS(input_Option1)'!$E$66,2)</f>
        <v>0</v>
      </c>
      <c r="AT117" s="52">
        <f>AH117*'MPS(input_Option1)'!$E$67</f>
        <v>1217.0720336997638</v>
      </c>
      <c r="AU117" s="52">
        <f>AI117*'MPS(input_Option1)'!$E$68</f>
        <v>0</v>
      </c>
      <c r="AV117" s="52">
        <f>AJ117*'MPS(input_Option1)'!$E$69</f>
        <v>0</v>
      </c>
      <c r="AW117" s="52">
        <f t="shared" si="47"/>
        <v>0</v>
      </c>
      <c r="AX117" s="95">
        <f t="shared" si="48"/>
        <v>133444.53999063946</v>
      </c>
      <c r="AY117" s="95">
        <f t="shared" si="49"/>
        <v>221849.21248865969</v>
      </c>
      <c r="AZ117" s="95">
        <f t="shared" si="50"/>
        <v>88404.672498020227</v>
      </c>
      <c r="BA117" s="95">
        <f>'MPS(input_RL_Opt1)'!AB15</f>
        <v>365</v>
      </c>
      <c r="BB117" s="95">
        <f>'MPS(input_RL_Opt1)'!AC15</f>
        <v>365</v>
      </c>
    </row>
    <row r="118" spans="1:54" x14ac:dyDescent="0.2">
      <c r="A118" s="215"/>
      <c r="B118" s="53">
        <f t="shared" si="45"/>
        <v>2026</v>
      </c>
      <c r="C118" s="52">
        <f>C117*(1-'MPS(input_Option1)'!$E$48)</f>
        <v>4997.8599197581543</v>
      </c>
      <c r="D118" s="52">
        <f>D117*(1-'MPS(input_Option1)'!$E$49)</f>
        <v>3914.6921650724116</v>
      </c>
      <c r="E118" s="52">
        <f>E117*(1-'MPS(input_Option1)'!$E$50)</f>
        <v>0</v>
      </c>
      <c r="F118" s="52">
        <f>F117*(1-'MPS(input_Option1)'!$E$51)</f>
        <v>3227.055740522575</v>
      </c>
      <c r="G118" s="52">
        <f>G117*(1-'MPS(input_Option1)'!$E$52)</f>
        <v>162.51488783810527</v>
      </c>
      <c r="H118" s="52">
        <f>H117*(1-'MPS(input_Option1)'!$E$53)</f>
        <v>0</v>
      </c>
      <c r="I118" s="52">
        <f>I117*(1-'MPS(input_Option1)'!$E$54)</f>
        <v>0</v>
      </c>
      <c r="J118" s="52">
        <f>J117*(1-'MPS(input_Option1)'!$E$55)</f>
        <v>0</v>
      </c>
      <c r="K118" s="52">
        <f>K117*(1-'MPS(input_Option1)'!$E$56)</f>
        <v>252.4791288134158</v>
      </c>
      <c r="L118" s="52">
        <f>L117*(1-'MPS(input_Option1)'!$E$57)</f>
        <v>0</v>
      </c>
      <c r="M118" s="52">
        <f>M117*(1-'MPS(input_Option1)'!$E$58)</f>
        <v>0</v>
      </c>
      <c r="N118" s="52">
        <f t="shared" si="46"/>
        <v>4048.0876899144932</v>
      </c>
      <c r="O118" s="52">
        <f>IFERROR(C117*'MPS(input_Option1)'!$E$48*$BA118/$BB118*'MPS(input_Option1)'!$E$59,0)</f>
        <v>11652.122660014968</v>
      </c>
      <c r="P118" s="52">
        <f>IFERROR(D117*'MPS(input_Option1)'!$E$49*$BA118/$BB118*'MPS(input_Option1)'!$E$60,0)</f>
        <v>16864.559287244505</v>
      </c>
      <c r="Q118" s="52">
        <f>IFERROR(E117*'MPS(input_Option1)'!$E$50*$BA118/$BB118*'MPS(input_Option1)'!$E$61,0)</f>
        <v>0</v>
      </c>
      <c r="R118" s="52">
        <f>IFERROR(F117*'MPS(input_Option1)'!$E$51*$BA118/$BB118*'MPS(input_Option1)'!$E$62,0)</f>
        <v>5559.1758934701929</v>
      </c>
      <c r="S118" s="52">
        <f>IFERROR(G117*'MPS(input_Option1)'!$E$52*$BA118/$BB118*'MPS(input_Option1)'!$E$63,0)</f>
        <v>0</v>
      </c>
      <c r="T118" s="52">
        <f>IFERROR(H117*'MPS(input_Option1)'!$E$53*$BA118/$BB118*'MPS(input_Option1)'!$E$64,0)</f>
        <v>0</v>
      </c>
      <c r="U118" s="52">
        <f>IFERROR(I117*'MPS(input_Option1)'!$E$54*$BA118/$BB118*'MPS(input_Option1)'!$E$65,0)</f>
        <v>0</v>
      </c>
      <c r="V118" s="52">
        <f>IFERROR(J117*'MPS(input_Option1)'!$E$55*$BA118/$BB118*'MPS(input_Option1)'!$E$66,0)</f>
        <v>0</v>
      </c>
      <c r="W118" s="52">
        <f>IFERROR(K117*'MPS(input_Option1)'!$E$56*$BA118/$BB118*'MPS(input_Option1)'!$E$67,0)</f>
        <v>1159.3624577163494</v>
      </c>
      <c r="X118" s="52">
        <f>IFERROR(L117*'MPS(input_Option1)'!$E$57*$BA118/$BB118*'MPS(input_Option1)'!$E$68,0)</f>
        <v>0</v>
      </c>
      <c r="Y118" s="52">
        <f>IFERROR(M117*'MPS(input_Option1)'!$E$58*$BA118/$BB118*'MPS(input_Option1)'!$E$69,0)</f>
        <v>0</v>
      </c>
      <c r="Z118" s="73">
        <f t="shared" ref="Z118:AA121" si="54">Z117*0.8</f>
        <v>108.35132721828388</v>
      </c>
      <c r="AA118" s="73">
        <f t="shared" si="54"/>
        <v>268.19903055032324</v>
      </c>
      <c r="AB118" s="73"/>
      <c r="AC118" s="73">
        <f t="shared" ref="AC118:AD121" si="55">AC117*0.8</f>
        <v>26.985267026280589</v>
      </c>
      <c r="AD118" s="73">
        <f t="shared" si="55"/>
        <v>1.1337408000000004</v>
      </c>
      <c r="AE118" s="73"/>
      <c r="AF118" s="73"/>
      <c r="AG118" s="73"/>
      <c r="AH118" s="73">
        <f t="shared" ref="AH118:AH121" si="56">AH117*0.8</f>
        <v>22.829018217111631</v>
      </c>
      <c r="AI118" s="73"/>
      <c r="AJ118" s="73"/>
      <c r="AK118" s="73"/>
      <c r="AL118" s="52">
        <f>Z118*'MPS(input_Option1)'!$E$59</f>
        <v>9892.4761750293183</v>
      </c>
      <c r="AM118" s="52">
        <f>AA118*'MPS(input_Option1)'!$E$60</f>
        <v>36236.371017654179</v>
      </c>
      <c r="AN118" s="52">
        <f>AB118*'MPS(input_Option1)'!$E$61</f>
        <v>0</v>
      </c>
      <c r="AO118" s="52">
        <f>AC118*'MPS(input_Option1)'!$E$62</f>
        <v>1300.9597233369873</v>
      </c>
      <c r="AP118" s="52">
        <f>AD118*'MPS(input_Option1)'!$E$63</f>
        <v>0</v>
      </c>
      <c r="AQ118" s="52">
        <f>AE118*'MPS(input_Option1)'!$E$64</f>
        <v>0</v>
      </c>
      <c r="AR118" s="52">
        <f>AF118*'MPS(input_Option1)'!$E$65</f>
        <v>0</v>
      </c>
      <c r="AS118" s="52">
        <f>ROUND(AG118*'MPS(input_Option1)'!$E$66,2)</f>
        <v>0</v>
      </c>
      <c r="AT118" s="52">
        <f>AH118*'MPS(input_Option1)'!$E$67</f>
        <v>973.65762695981107</v>
      </c>
      <c r="AU118" s="52">
        <f>AI118*'MPS(input_Option1)'!$E$68</f>
        <v>0</v>
      </c>
      <c r="AV118" s="52">
        <f>AJ118*'MPS(input_Option1)'!$E$69</f>
        <v>0</v>
      </c>
      <c r="AW118" s="52">
        <f t="shared" si="47"/>
        <v>0</v>
      </c>
      <c r="AX118" s="95">
        <f t="shared" si="48"/>
        <v>129195.80776096872</v>
      </c>
      <c r="AY118" s="95">
        <f t="shared" si="49"/>
        <v>177479.36999092772</v>
      </c>
      <c r="AZ118" s="95">
        <f t="shared" si="50"/>
        <v>48283.562229959003</v>
      </c>
      <c r="BA118" s="95">
        <f>'MPS(input_RL_Opt1)'!AB16</f>
        <v>365</v>
      </c>
      <c r="BB118" s="95">
        <f>'MPS(input_RL_Opt1)'!AC16</f>
        <v>365</v>
      </c>
    </row>
    <row r="119" spans="1:54" x14ac:dyDescent="0.2">
      <c r="A119" s="215"/>
      <c r="B119" s="53">
        <f t="shared" si="45"/>
        <v>2027</v>
      </c>
      <c r="C119" s="52">
        <f>C118*(1-'MPS(input_Option1)'!$E$48)</f>
        <v>4873.4132077561762</v>
      </c>
      <c r="D119" s="52">
        <f>D118*(1-'MPS(input_Option1)'!$E$49)</f>
        <v>3793.7281771716739</v>
      </c>
      <c r="E119" s="52">
        <f>E118*(1-'MPS(input_Option1)'!$E$50)</f>
        <v>0</v>
      </c>
      <c r="F119" s="52">
        <f>F118*(1-'MPS(input_Option1)'!$E$51)</f>
        <v>3115.7223174745463</v>
      </c>
      <c r="G119" s="52">
        <f>G118*(1-'MPS(input_Option1)'!$E$52)</f>
        <v>160.22342791958798</v>
      </c>
      <c r="H119" s="52">
        <f>H118*(1-'MPS(input_Option1)'!$E$53)</f>
        <v>0</v>
      </c>
      <c r="I119" s="52">
        <f>I118*(1-'MPS(input_Option1)'!$E$54)</f>
        <v>0</v>
      </c>
      <c r="J119" s="52">
        <f>J118*(1-'MPS(input_Option1)'!$E$55)</f>
        <v>0</v>
      </c>
      <c r="K119" s="52">
        <f>K118*(1-'MPS(input_Option1)'!$E$56)</f>
        <v>227.9381574927518</v>
      </c>
      <c r="L119" s="52">
        <f>L118*(1-'MPS(input_Option1)'!$E$57)</f>
        <v>0</v>
      </c>
      <c r="M119" s="52">
        <f>M118*(1-'MPS(input_Option1)'!$E$58)</f>
        <v>0</v>
      </c>
      <c r="N119" s="52">
        <f t="shared" si="46"/>
        <v>4431.6642441044205</v>
      </c>
      <c r="O119" s="52">
        <f>IFERROR(C118*'MPS(input_Option1)'!$E$48*$BA119/$BB119*'MPS(input_Option1)'!$E$59,0)</f>
        <v>11361.984805780592</v>
      </c>
      <c r="P119" s="52">
        <f>IFERROR(D118*'MPS(input_Option1)'!$E$49*$BA119/$BB119*'MPS(input_Option1)'!$E$60,0)</f>
        <v>16343.444405268649</v>
      </c>
      <c r="Q119" s="52">
        <f>IFERROR(E118*'MPS(input_Option1)'!$E$50*$BA119/$BB119*'MPS(input_Option1)'!$E$61,0)</f>
        <v>0</v>
      </c>
      <c r="R119" s="52">
        <f>IFERROR(F118*'MPS(input_Option1)'!$E$51*$BA119/$BB119*'MPS(input_Option1)'!$E$62,0)</f>
        <v>5367.3843251454709</v>
      </c>
      <c r="S119" s="52">
        <f>IFERROR(G118*'MPS(input_Option1)'!$E$52*$BA119/$BB119*'MPS(input_Option1)'!$E$63,0)</f>
        <v>0</v>
      </c>
      <c r="T119" s="52">
        <f>IFERROR(H118*'MPS(input_Option1)'!$E$53*$BA119/$BB119*'MPS(input_Option1)'!$E$64,0)</f>
        <v>0</v>
      </c>
      <c r="U119" s="52">
        <f>IFERROR(I118*'MPS(input_Option1)'!$E$54*$BA119/$BB119*'MPS(input_Option1)'!$E$65,0)</f>
        <v>0</v>
      </c>
      <c r="V119" s="52">
        <f>IFERROR(J118*'MPS(input_Option1)'!$E$55*$BA119/$BB119*'MPS(input_Option1)'!$E$66,0)</f>
        <v>0</v>
      </c>
      <c r="W119" s="52">
        <f>IFERROR(K118*'MPS(input_Option1)'!$E$56*$BA119/$BB119*'MPS(input_Option1)'!$E$67,0)</f>
        <v>1046.6724268263199</v>
      </c>
      <c r="X119" s="52">
        <f>IFERROR(L118*'MPS(input_Option1)'!$E$57*$BA119/$BB119*'MPS(input_Option1)'!$E$68,0)</f>
        <v>0</v>
      </c>
      <c r="Y119" s="52">
        <f>IFERROR(M118*'MPS(input_Option1)'!$E$58*$BA119/$BB119*'MPS(input_Option1)'!$E$69,0)</f>
        <v>0</v>
      </c>
      <c r="Z119" s="73">
        <f t="shared" si="54"/>
        <v>86.681061774627111</v>
      </c>
      <c r="AA119" s="73">
        <f t="shared" si="54"/>
        <v>214.55922444025862</v>
      </c>
      <c r="AB119" s="73"/>
      <c r="AC119" s="73">
        <f t="shared" si="55"/>
        <v>21.588213621024472</v>
      </c>
      <c r="AD119" s="73">
        <f t="shared" si="55"/>
        <v>0.90699264000000035</v>
      </c>
      <c r="AE119" s="73"/>
      <c r="AF119" s="73"/>
      <c r="AG119" s="73"/>
      <c r="AH119" s="73">
        <f t="shared" si="56"/>
        <v>18.263214573689307</v>
      </c>
      <c r="AI119" s="73"/>
      <c r="AJ119" s="73"/>
      <c r="AK119" s="73"/>
      <c r="AL119" s="52">
        <f>Z119*'MPS(input_Option1)'!$E$59</f>
        <v>7913.9809400234553</v>
      </c>
      <c r="AM119" s="52">
        <f>AA119*'MPS(input_Option1)'!$E$60</f>
        <v>28989.096814123346</v>
      </c>
      <c r="AN119" s="52">
        <f>AB119*'MPS(input_Option1)'!$E$61</f>
        <v>0</v>
      </c>
      <c r="AO119" s="52">
        <f>AC119*'MPS(input_Option1)'!$E$62</f>
        <v>1040.7677786695899</v>
      </c>
      <c r="AP119" s="52">
        <f>AD119*'MPS(input_Option1)'!$E$63</f>
        <v>0</v>
      </c>
      <c r="AQ119" s="52">
        <f>AE119*'MPS(input_Option1)'!$E$64</f>
        <v>0</v>
      </c>
      <c r="AR119" s="52">
        <f>AF119*'MPS(input_Option1)'!$E$65</f>
        <v>0</v>
      </c>
      <c r="AS119" s="52">
        <f>ROUND(AG119*'MPS(input_Option1)'!$E$66,2)</f>
        <v>0</v>
      </c>
      <c r="AT119" s="52">
        <f>AH119*'MPS(input_Option1)'!$E$67</f>
        <v>778.92610156784895</v>
      </c>
      <c r="AU119" s="52">
        <f>AI119*'MPS(input_Option1)'!$E$68</f>
        <v>0</v>
      </c>
      <c r="AV119" s="52">
        <f>AJ119*'MPS(input_Option1)'!$E$69</f>
        <v>0</v>
      </c>
      <c r="AW119" s="52">
        <f t="shared" si="47"/>
        <v>0</v>
      </c>
      <c r="AX119" s="95">
        <f t="shared" si="48"/>
        <v>125104.78186441043</v>
      </c>
      <c r="AY119" s="95">
        <f t="shared" si="49"/>
        <v>141983.49599274222</v>
      </c>
      <c r="AZ119" s="95">
        <f t="shared" si="50"/>
        <v>16878.714128331791</v>
      </c>
      <c r="BA119" s="95">
        <f>'MPS(input_RL_Opt1)'!AB17</f>
        <v>365</v>
      </c>
      <c r="BB119" s="95">
        <f>'MPS(input_RL_Opt1)'!AC17</f>
        <v>365</v>
      </c>
    </row>
    <row r="120" spans="1:54" x14ac:dyDescent="0.2">
      <c r="A120" s="215"/>
      <c r="B120" s="53">
        <f t="shared" si="45"/>
        <v>2028</v>
      </c>
      <c r="C120" s="52">
        <f>C119*(1-'MPS(input_Option1)'!$E$48)</f>
        <v>4752.0652188830472</v>
      </c>
      <c r="D120" s="52">
        <f>D119*(1-'MPS(input_Option1)'!$E$49)</f>
        <v>3676.5019764970689</v>
      </c>
      <c r="E120" s="52">
        <f>E119*(1-'MPS(input_Option1)'!$E$50)</f>
        <v>0</v>
      </c>
      <c r="F120" s="52">
        <f>F119*(1-'MPS(input_Option1)'!$E$51)</f>
        <v>3008.2298975216745</v>
      </c>
      <c r="G120" s="52">
        <f>G119*(1-'MPS(input_Option1)'!$E$52)</f>
        <v>157.96427758592179</v>
      </c>
      <c r="H120" s="52">
        <f>H119*(1-'MPS(input_Option1)'!$E$53)</f>
        <v>0</v>
      </c>
      <c r="I120" s="52">
        <f>I119*(1-'MPS(input_Option1)'!$E$54)</f>
        <v>0</v>
      </c>
      <c r="J120" s="52">
        <f>J119*(1-'MPS(input_Option1)'!$E$55)</f>
        <v>0</v>
      </c>
      <c r="K120" s="52">
        <f>K119*(1-'MPS(input_Option1)'!$E$56)</f>
        <v>205.78256858445633</v>
      </c>
      <c r="L120" s="52">
        <f>L119*(1-'MPS(input_Option1)'!$E$57)</f>
        <v>0</v>
      </c>
      <c r="M120" s="52">
        <f>M119*(1-'MPS(input_Option1)'!$E$58)</f>
        <v>0</v>
      </c>
      <c r="N120" s="52">
        <f t="shared" si="46"/>
        <v>4802.1455928469895</v>
      </c>
      <c r="O120" s="52">
        <f>IFERROR(C119*'MPS(input_Option1)'!$E$48*$BA120/$BB120*'MPS(input_Option1)'!$E$59,0)</f>
        <v>11079.071384116658</v>
      </c>
      <c r="P120" s="52">
        <f>IFERROR(D119*'MPS(input_Option1)'!$E$49*$BA120/$BB120*'MPS(input_Option1)'!$E$60,0)</f>
        <v>15838.431973145845</v>
      </c>
      <c r="Q120" s="52">
        <f>IFERROR(E119*'MPS(input_Option1)'!$E$50*$BA120/$BB120*'MPS(input_Option1)'!$E$61,0)</f>
        <v>0</v>
      </c>
      <c r="R120" s="52">
        <f>IFERROR(F119*'MPS(input_Option1)'!$E$51*$BA120/$BB120*'MPS(input_Option1)'!$E$62,0)</f>
        <v>5182.2095659279521</v>
      </c>
      <c r="S120" s="52">
        <f>IFERROR(G119*'MPS(input_Option1)'!$E$52*$BA120/$BB120*'MPS(input_Option1)'!$E$63,0)</f>
        <v>0</v>
      </c>
      <c r="T120" s="52">
        <f>IFERROR(H119*'MPS(input_Option1)'!$E$53*$BA120/$BB120*'MPS(input_Option1)'!$E$64,0)</f>
        <v>0</v>
      </c>
      <c r="U120" s="52">
        <f>IFERROR(I119*'MPS(input_Option1)'!$E$54*$BA120/$BB120*'MPS(input_Option1)'!$E$65,0)</f>
        <v>0</v>
      </c>
      <c r="V120" s="52">
        <f>IFERROR(J119*'MPS(input_Option1)'!$E$55*$BA120/$BB120*'MPS(input_Option1)'!$E$66,0)</f>
        <v>0</v>
      </c>
      <c r="W120" s="52">
        <f>IFERROR(K119*'MPS(input_Option1)'!$E$56*$BA120/$BB120*'MPS(input_Option1)'!$E$67,0)</f>
        <v>944.93586693880195</v>
      </c>
      <c r="X120" s="52">
        <f>IFERROR(L119*'MPS(input_Option1)'!$E$57*$BA120/$BB120*'MPS(input_Option1)'!$E$68,0)</f>
        <v>0</v>
      </c>
      <c r="Y120" s="52">
        <f>IFERROR(M119*'MPS(input_Option1)'!$E$58*$BA120/$BB120*'MPS(input_Option1)'!$E$69,0)</f>
        <v>0</v>
      </c>
      <c r="Z120" s="73">
        <f t="shared" si="54"/>
        <v>69.344849419701688</v>
      </c>
      <c r="AA120" s="73">
        <f t="shared" si="54"/>
        <v>171.6473795522069</v>
      </c>
      <c r="AB120" s="73"/>
      <c r="AC120" s="73">
        <f t="shared" si="55"/>
        <v>17.270570896819578</v>
      </c>
      <c r="AD120" s="73">
        <f t="shared" si="55"/>
        <v>0.72559411200000035</v>
      </c>
      <c r="AE120" s="73"/>
      <c r="AF120" s="73"/>
      <c r="AG120" s="73"/>
      <c r="AH120" s="73">
        <f t="shared" si="56"/>
        <v>14.610571658951446</v>
      </c>
      <c r="AI120" s="73"/>
      <c r="AJ120" s="73"/>
      <c r="AK120" s="73"/>
      <c r="AL120" s="52">
        <f>Z120*'MPS(input_Option1)'!$E$59</f>
        <v>6331.1847520187639</v>
      </c>
      <c r="AM120" s="52">
        <f>AA120*'MPS(input_Option1)'!$E$60</f>
        <v>23191.277451298676</v>
      </c>
      <c r="AN120" s="52">
        <f>AB120*'MPS(input_Option1)'!$E$61</f>
        <v>0</v>
      </c>
      <c r="AO120" s="52">
        <f>AC120*'MPS(input_Option1)'!$E$62</f>
        <v>832.61422293567182</v>
      </c>
      <c r="AP120" s="52">
        <f>AD120*'MPS(input_Option1)'!$E$63</f>
        <v>0</v>
      </c>
      <c r="AQ120" s="52">
        <f>AE120*'MPS(input_Option1)'!$E$64</f>
        <v>0</v>
      </c>
      <c r="AR120" s="52">
        <f>AF120*'MPS(input_Option1)'!$E$65</f>
        <v>0</v>
      </c>
      <c r="AS120" s="52">
        <f>ROUND(AG120*'MPS(input_Option1)'!$E$66,2)</f>
        <v>0</v>
      </c>
      <c r="AT120" s="52">
        <f>AH120*'MPS(input_Option1)'!$E$67</f>
        <v>623.14088125427918</v>
      </c>
      <c r="AU120" s="52">
        <f>AI120*'MPS(input_Option1)'!$E$68</f>
        <v>0</v>
      </c>
      <c r="AV120" s="52">
        <f>AJ120*'MPS(input_Option1)'!$E$69</f>
        <v>0</v>
      </c>
      <c r="AW120" s="52">
        <f t="shared" si="47"/>
        <v>0</v>
      </c>
      <c r="AX120" s="95">
        <f t="shared" si="48"/>
        <v>121163.71223047393</v>
      </c>
      <c r="AY120" s="95">
        <f t="shared" si="49"/>
        <v>113586.79679419375</v>
      </c>
      <c r="AZ120" s="95">
        <f t="shared" si="50"/>
        <v>0</v>
      </c>
      <c r="BA120" s="95">
        <f>'MPS(input_RL_Opt1)'!AB18</f>
        <v>366</v>
      </c>
      <c r="BB120" s="95">
        <f>'MPS(input_RL_Opt1)'!AC18</f>
        <v>366</v>
      </c>
    </row>
    <row r="121" spans="1:54" x14ac:dyDescent="0.2">
      <c r="A121" s="216"/>
      <c r="B121" s="53">
        <f t="shared" si="45"/>
        <v>2029</v>
      </c>
      <c r="C121" s="52">
        <f>C120*(1-'MPS(input_Option1)'!$E$48)</f>
        <v>4633.7387949328595</v>
      </c>
      <c r="D121" s="52">
        <f>D120*(1-'MPS(input_Option1)'!$E$49)</f>
        <v>3562.8980654233092</v>
      </c>
      <c r="E121" s="52">
        <f>E120*(1-'MPS(input_Option1)'!$E$50)</f>
        <v>0</v>
      </c>
      <c r="F121" s="52">
        <f>F120*(1-'MPS(input_Option1)'!$E$51)</f>
        <v>2904.445966057177</v>
      </c>
      <c r="G121" s="52">
        <f>G120*(1-'MPS(input_Option1)'!$E$52)</f>
        <v>155.7369812719603</v>
      </c>
      <c r="H121" s="52">
        <f>H120*(1-'MPS(input_Option1)'!$E$53)</f>
        <v>0</v>
      </c>
      <c r="I121" s="52">
        <f>I120*(1-'MPS(input_Option1)'!$E$54)</f>
        <v>0</v>
      </c>
      <c r="J121" s="52">
        <f>J120*(1-'MPS(input_Option1)'!$E$55)</f>
        <v>0</v>
      </c>
      <c r="K121" s="52">
        <f>K120*(1-'MPS(input_Option1)'!$E$56)</f>
        <v>185.78050291804718</v>
      </c>
      <c r="L121" s="52">
        <f>L120*(1-'MPS(input_Option1)'!$E$57)</f>
        <v>0</v>
      </c>
      <c r="M121" s="52">
        <f>M120*(1-'MPS(input_Option1)'!$E$58)</f>
        <v>0</v>
      </c>
      <c r="N121" s="52">
        <f t="shared" si="46"/>
        <v>5160.089221315804</v>
      </c>
      <c r="O121" s="52">
        <f>IFERROR(C120*'MPS(input_Option1)'!$E$48*$BA121/$BB121*'MPS(input_Option1)'!$E$59,0)</f>
        <v>10803.202506652151</v>
      </c>
      <c r="P121" s="52">
        <f>IFERROR(D120*'MPS(input_Option1)'!$E$49*$BA121/$BB121*'MPS(input_Option1)'!$E$60,0)</f>
        <v>15349.024425175639</v>
      </c>
      <c r="Q121" s="52">
        <f>IFERROR(E120*'MPS(input_Option1)'!$E$50*$BA121/$BB121*'MPS(input_Option1)'!$E$61,0)</f>
        <v>0</v>
      </c>
      <c r="R121" s="52">
        <f>IFERROR(F120*'MPS(input_Option1)'!$E$51*$BA121/$BB121*'MPS(input_Option1)'!$E$62,0)</f>
        <v>5003.4233359034379</v>
      </c>
      <c r="S121" s="52">
        <f>IFERROR(G120*'MPS(input_Option1)'!$E$52*$BA121/$BB121*'MPS(input_Option1)'!$E$63,0)</f>
        <v>0</v>
      </c>
      <c r="T121" s="52">
        <f>IFERROR(H120*'MPS(input_Option1)'!$E$53*$BA121/$BB121*'MPS(input_Option1)'!$E$64,0)</f>
        <v>0</v>
      </c>
      <c r="U121" s="52">
        <f>IFERROR(I120*'MPS(input_Option1)'!$E$54*$BA121/$BB121*'MPS(input_Option1)'!$E$65,0)</f>
        <v>0</v>
      </c>
      <c r="V121" s="52">
        <f>IFERROR(J120*'MPS(input_Option1)'!$E$55*$BA121/$BB121*'MPS(input_Option1)'!$E$66,0)</f>
        <v>0</v>
      </c>
      <c r="W121" s="52">
        <f>IFERROR(K120*'MPS(input_Option1)'!$E$56*$BA121/$BB121*'MPS(input_Option1)'!$E$67,0)</f>
        <v>853.08810067235049</v>
      </c>
      <c r="X121" s="52">
        <f>IFERROR(L120*'MPS(input_Option1)'!$E$57*$BA121/$BB121*'MPS(input_Option1)'!$E$68,0)</f>
        <v>0</v>
      </c>
      <c r="Y121" s="52">
        <f>IFERROR(M120*'MPS(input_Option1)'!$E$58*$BA121/$BB121*'MPS(input_Option1)'!$E$69,0)</f>
        <v>0</v>
      </c>
      <c r="Z121" s="73">
        <f t="shared" si="54"/>
        <v>55.475879535761351</v>
      </c>
      <c r="AA121" s="73">
        <f t="shared" si="54"/>
        <v>137.31790364176553</v>
      </c>
      <c r="AB121" s="73"/>
      <c r="AC121" s="73">
        <f t="shared" si="55"/>
        <v>13.816456717455663</v>
      </c>
      <c r="AD121" s="73">
        <f t="shared" si="55"/>
        <v>0.58047528960000028</v>
      </c>
      <c r="AE121" s="73"/>
      <c r="AF121" s="73"/>
      <c r="AG121" s="73"/>
      <c r="AH121" s="73">
        <f t="shared" si="56"/>
        <v>11.688457327161158</v>
      </c>
      <c r="AI121" s="73"/>
      <c r="AJ121" s="73"/>
      <c r="AK121" s="73"/>
      <c r="AL121" s="52">
        <f>Z121*'MPS(input_Option1)'!$E$59</f>
        <v>5064.9478016150115</v>
      </c>
      <c r="AM121" s="52">
        <f>AA121*'MPS(input_Option1)'!$E$60</f>
        <v>18553.021961038943</v>
      </c>
      <c r="AN121" s="52">
        <f>AB121*'MPS(input_Option1)'!$E$61</f>
        <v>0</v>
      </c>
      <c r="AO121" s="52">
        <f>AC121*'MPS(input_Option1)'!$E$62</f>
        <v>666.09137834853755</v>
      </c>
      <c r="AP121" s="52">
        <f>AD121*'MPS(input_Option1)'!$E$63</f>
        <v>0</v>
      </c>
      <c r="AQ121" s="52">
        <f>AE121*'MPS(input_Option1)'!$E$64</f>
        <v>0</v>
      </c>
      <c r="AR121" s="52">
        <f>AF121*'MPS(input_Option1)'!$E$65</f>
        <v>0</v>
      </c>
      <c r="AS121" s="52">
        <f>ROUND(AG121*'MPS(input_Option1)'!$E$66,2)</f>
        <v>0</v>
      </c>
      <c r="AT121" s="52">
        <f>AH121*'MPS(input_Option1)'!$E$67</f>
        <v>498.51270500342338</v>
      </c>
      <c r="AU121" s="52">
        <f>AI121*'MPS(input_Option1)'!$E$68</f>
        <v>0</v>
      </c>
      <c r="AV121" s="52">
        <f>AJ121*'MPS(input_Option1)'!$E$69</f>
        <v>0</v>
      </c>
      <c r="AW121" s="52">
        <f t="shared" si="47"/>
        <v>0</v>
      </c>
      <c r="AX121" s="95">
        <f t="shared" si="48"/>
        <v>117365.37401747979</v>
      </c>
      <c r="AY121" s="95">
        <f t="shared" si="49"/>
        <v>90869.437435355023</v>
      </c>
      <c r="AZ121" s="95">
        <f t="shared" si="50"/>
        <v>0</v>
      </c>
      <c r="BA121" s="95">
        <f>'MPS(input_RL_Opt1)'!AB19</f>
        <v>365</v>
      </c>
      <c r="BB121" s="95">
        <f>'MPS(input_RL_Opt1)'!AC19</f>
        <v>365</v>
      </c>
    </row>
    <row r="122" spans="1:54" x14ac:dyDescent="0.2">
      <c r="A122" s="175"/>
      <c r="B122" s="58" t="s">
        <v>259</v>
      </c>
      <c r="C122" s="76" t="s">
        <v>26</v>
      </c>
      <c r="D122" s="76" t="s">
        <v>26</v>
      </c>
      <c r="E122" s="76" t="s">
        <v>26</v>
      </c>
      <c r="F122" s="76" t="s">
        <v>26</v>
      </c>
      <c r="G122" s="76" t="s">
        <v>26</v>
      </c>
      <c r="H122" s="76" t="s">
        <v>26</v>
      </c>
      <c r="I122" s="76" t="s">
        <v>26</v>
      </c>
      <c r="J122" s="76" t="s">
        <v>26</v>
      </c>
      <c r="K122" s="76" t="s">
        <v>26</v>
      </c>
      <c r="L122" s="76" t="s">
        <v>26</v>
      </c>
      <c r="M122" s="76" t="s">
        <v>26</v>
      </c>
      <c r="N122" s="76" t="s">
        <v>26</v>
      </c>
      <c r="O122" s="76" t="s">
        <v>26</v>
      </c>
      <c r="P122" s="76" t="s">
        <v>26</v>
      </c>
      <c r="Q122" s="76" t="s">
        <v>26</v>
      </c>
      <c r="R122" s="76" t="s">
        <v>26</v>
      </c>
      <c r="S122" s="76" t="s">
        <v>26</v>
      </c>
      <c r="T122" s="76" t="s">
        <v>26</v>
      </c>
      <c r="U122" s="76" t="s">
        <v>26</v>
      </c>
      <c r="V122" s="76" t="s">
        <v>26</v>
      </c>
      <c r="W122" s="76" t="s">
        <v>26</v>
      </c>
      <c r="X122" s="76" t="s">
        <v>26</v>
      </c>
      <c r="Y122" s="76" t="s">
        <v>26</v>
      </c>
      <c r="Z122" s="76" t="s">
        <v>26</v>
      </c>
      <c r="AA122" s="76" t="s">
        <v>26</v>
      </c>
      <c r="AB122" s="76" t="s">
        <v>26</v>
      </c>
      <c r="AC122" s="76" t="s">
        <v>26</v>
      </c>
      <c r="AD122" s="76" t="s">
        <v>26</v>
      </c>
      <c r="AE122" s="76" t="s">
        <v>26</v>
      </c>
      <c r="AF122" s="76" t="s">
        <v>26</v>
      </c>
      <c r="AG122" s="76" t="s">
        <v>26</v>
      </c>
      <c r="AH122" s="76" t="s">
        <v>26</v>
      </c>
      <c r="AI122" s="76" t="s">
        <v>26</v>
      </c>
      <c r="AJ122" s="76" t="s">
        <v>26</v>
      </c>
      <c r="AK122" s="76" t="s">
        <v>26</v>
      </c>
      <c r="AL122" s="76" t="s">
        <v>26</v>
      </c>
      <c r="AM122" s="76" t="s">
        <v>26</v>
      </c>
      <c r="AN122" s="76" t="s">
        <v>26</v>
      </c>
      <c r="AO122" s="76" t="s">
        <v>26</v>
      </c>
      <c r="AP122" s="76" t="s">
        <v>26</v>
      </c>
      <c r="AQ122" s="76" t="s">
        <v>26</v>
      </c>
      <c r="AR122" s="76" t="s">
        <v>26</v>
      </c>
      <c r="AS122" s="76" t="s">
        <v>26</v>
      </c>
      <c r="AT122" s="76" t="s">
        <v>26</v>
      </c>
      <c r="AU122" s="76" t="s">
        <v>26</v>
      </c>
      <c r="AV122" s="76" t="s">
        <v>26</v>
      </c>
      <c r="AW122" s="76" t="s">
        <v>26</v>
      </c>
      <c r="AX122" s="95">
        <f>SUM(AX109:AX121)</f>
        <v>1661321.2545533211</v>
      </c>
      <c r="AY122" s="95">
        <f>SUM(AY109:AY121)</f>
        <v>3138371.1903582728</v>
      </c>
      <c r="AZ122" s="95">
        <f>SUM(AZ109:AZ121)</f>
        <v>1511122.7878233565</v>
      </c>
      <c r="BA122" s="76" t="s">
        <v>26</v>
      </c>
      <c r="BB122" s="76" t="s">
        <v>26</v>
      </c>
    </row>
    <row r="125" spans="1:54" x14ac:dyDescent="0.2">
      <c r="A125" s="74" t="s">
        <v>335</v>
      </c>
      <c r="D125" s="1"/>
      <c r="E125" s="1"/>
      <c r="F125" s="1"/>
      <c r="G125" s="1"/>
      <c r="H125" s="1"/>
      <c r="I125" s="1"/>
      <c r="J125" s="1"/>
      <c r="K125" s="1"/>
      <c r="L125" s="1"/>
      <c r="M125" s="1"/>
      <c r="N125" s="1"/>
    </row>
    <row r="126" spans="1:54" ht="16" x14ac:dyDescent="0.2">
      <c r="A126" s="213" t="s">
        <v>230</v>
      </c>
      <c r="B126" s="213"/>
      <c r="C126" s="87" t="s">
        <v>336</v>
      </c>
      <c r="D126" s="1"/>
      <c r="E126" s="1"/>
      <c r="F126" s="1"/>
      <c r="G126" s="1"/>
      <c r="H126" s="1"/>
      <c r="I126" s="1"/>
      <c r="J126" s="1"/>
      <c r="K126" s="1"/>
      <c r="L126" s="1"/>
      <c r="M126" s="1"/>
      <c r="N126" s="1"/>
    </row>
    <row r="127" spans="1:54" ht="42.5" x14ac:dyDescent="0.2">
      <c r="A127" s="213" t="s">
        <v>235</v>
      </c>
      <c r="B127" s="213"/>
      <c r="C127" s="50" t="s">
        <v>337</v>
      </c>
      <c r="D127" s="1"/>
      <c r="E127" s="1"/>
      <c r="F127" s="1"/>
      <c r="G127" s="1"/>
      <c r="H127" s="1"/>
      <c r="I127" s="1"/>
      <c r="J127" s="1"/>
      <c r="K127" s="1"/>
      <c r="L127" s="1"/>
      <c r="M127" s="1"/>
      <c r="N127" s="1"/>
    </row>
    <row r="128" spans="1:54" ht="16" x14ac:dyDescent="0.2">
      <c r="A128" s="213" t="s">
        <v>241</v>
      </c>
      <c r="B128" s="213"/>
      <c r="C128" s="49" t="s">
        <v>282</v>
      </c>
      <c r="D128" s="1"/>
      <c r="E128" s="1"/>
      <c r="F128" s="1"/>
      <c r="G128" s="1"/>
      <c r="H128" s="1"/>
      <c r="I128" s="1"/>
      <c r="J128" s="1"/>
      <c r="K128" s="1"/>
      <c r="L128" s="1"/>
      <c r="M128" s="1"/>
      <c r="N128" s="1"/>
    </row>
    <row r="129" spans="1:14" x14ac:dyDescent="0.2">
      <c r="A129" s="218" t="s">
        <v>221</v>
      </c>
      <c r="B129" s="53">
        <f>'MPS(input_RL_Opt1)'!$B$8</f>
        <v>2018</v>
      </c>
      <c r="C129" s="96">
        <f t="shared" ref="C129:C140" si="57">AA8*(44/12)+M36+R61+AF89+AZ110</f>
        <v>164154.5307126843</v>
      </c>
      <c r="D129" s="1"/>
      <c r="E129" s="1"/>
      <c r="F129" s="1"/>
      <c r="G129" s="1"/>
      <c r="H129" s="1"/>
      <c r="I129" s="1"/>
      <c r="J129" s="1"/>
      <c r="K129" s="1"/>
      <c r="L129" s="1"/>
      <c r="M129" s="1"/>
      <c r="N129" s="1"/>
    </row>
    <row r="130" spans="1:14" x14ac:dyDescent="0.2">
      <c r="A130" s="219"/>
      <c r="B130" s="53">
        <f t="shared" ref="B130:B140" si="58">B129+1</f>
        <v>2019</v>
      </c>
      <c r="C130" s="96">
        <f t="shared" si="57"/>
        <v>552964.12813263666</v>
      </c>
      <c r="D130" s="1"/>
      <c r="E130" s="1"/>
      <c r="F130" s="1"/>
      <c r="G130" s="1"/>
      <c r="H130" s="1"/>
      <c r="I130" s="1"/>
      <c r="J130" s="1"/>
      <c r="K130" s="1"/>
      <c r="L130" s="1"/>
      <c r="M130" s="1"/>
      <c r="N130" s="1"/>
    </row>
    <row r="131" spans="1:14" x14ac:dyDescent="0.2">
      <c r="A131" s="219"/>
      <c r="B131" s="53">
        <f t="shared" si="58"/>
        <v>2020</v>
      </c>
      <c r="C131" s="96">
        <f t="shared" si="57"/>
        <v>486790.02689394035</v>
      </c>
      <c r="D131" s="1"/>
      <c r="E131" s="1"/>
      <c r="F131" s="1"/>
      <c r="G131" s="1"/>
      <c r="H131" s="1"/>
      <c r="I131" s="1"/>
      <c r="J131" s="1"/>
      <c r="K131" s="1"/>
      <c r="L131" s="1"/>
      <c r="M131" s="1"/>
      <c r="N131" s="1"/>
    </row>
    <row r="132" spans="1:14" x14ac:dyDescent="0.2">
      <c r="A132" s="219"/>
      <c r="B132" s="53">
        <f t="shared" si="58"/>
        <v>2021</v>
      </c>
      <c r="C132" s="96">
        <f t="shared" si="57"/>
        <v>427572.9108354341</v>
      </c>
      <c r="D132" s="1"/>
      <c r="E132" s="1"/>
      <c r="F132" s="1"/>
      <c r="G132" s="1"/>
      <c r="H132" s="1"/>
      <c r="I132" s="1"/>
      <c r="J132" s="1"/>
      <c r="K132" s="1"/>
      <c r="L132" s="1"/>
      <c r="M132" s="1"/>
      <c r="N132" s="1"/>
    </row>
    <row r="133" spans="1:14" x14ac:dyDescent="0.2">
      <c r="A133" s="219"/>
      <c r="B133" s="53">
        <f t="shared" si="58"/>
        <v>2022</v>
      </c>
      <c r="C133" s="96">
        <f t="shared" si="57"/>
        <v>374569.58002412337</v>
      </c>
      <c r="D133" s="1"/>
      <c r="E133" s="1"/>
      <c r="F133" s="1"/>
      <c r="G133" s="1"/>
      <c r="H133" s="1"/>
      <c r="I133" s="1"/>
      <c r="J133" s="1"/>
      <c r="K133" s="1"/>
      <c r="L133" s="1"/>
      <c r="M133" s="1"/>
      <c r="N133" s="1"/>
    </row>
    <row r="134" spans="1:14" x14ac:dyDescent="0.2">
      <c r="A134" s="219"/>
      <c r="B134" s="53">
        <f t="shared" si="58"/>
        <v>2023</v>
      </c>
      <c r="C134" s="96">
        <f t="shared" si="57"/>
        <v>327190.44849931658</v>
      </c>
      <c r="D134" s="1"/>
      <c r="E134" s="1"/>
      <c r="F134" s="1"/>
      <c r="G134" s="1"/>
      <c r="H134" s="1"/>
      <c r="I134" s="1"/>
      <c r="J134" s="1"/>
      <c r="K134" s="1"/>
      <c r="L134" s="1"/>
      <c r="M134" s="1"/>
      <c r="N134" s="1"/>
    </row>
    <row r="135" spans="1:14" x14ac:dyDescent="0.2">
      <c r="A135" s="219"/>
      <c r="B135" s="53">
        <f t="shared" si="58"/>
        <v>2024</v>
      </c>
      <c r="C135" s="96">
        <f t="shared" si="57"/>
        <v>284822.30294069578</v>
      </c>
      <c r="D135" s="1"/>
      <c r="E135" s="1"/>
      <c r="F135" s="1"/>
      <c r="G135" s="1"/>
      <c r="H135" s="1"/>
      <c r="I135" s="1"/>
      <c r="J135" s="1"/>
      <c r="K135" s="1"/>
      <c r="L135" s="1"/>
      <c r="M135" s="1"/>
      <c r="N135" s="1"/>
    </row>
    <row r="136" spans="1:14" x14ac:dyDescent="0.2">
      <c r="A136" s="219"/>
      <c r="B136" s="53">
        <f t="shared" si="58"/>
        <v>2025</v>
      </c>
      <c r="C136" s="96">
        <f t="shared" si="57"/>
        <v>204734.80206198228</v>
      </c>
      <c r="D136" s="1"/>
      <c r="E136" s="1"/>
      <c r="F136" s="1"/>
      <c r="G136" s="1"/>
      <c r="H136" s="1"/>
      <c r="I136" s="1"/>
      <c r="J136" s="1"/>
      <c r="K136" s="1"/>
      <c r="L136" s="1"/>
      <c r="M136" s="1"/>
      <c r="N136" s="1"/>
    </row>
    <row r="137" spans="1:14" x14ac:dyDescent="0.2">
      <c r="A137" s="219"/>
      <c r="B137" s="53">
        <f t="shared" si="58"/>
        <v>2026</v>
      </c>
      <c r="C137" s="96">
        <f t="shared" si="57"/>
        <v>141364.17328129092</v>
      </c>
      <c r="D137" s="1"/>
      <c r="E137" s="1"/>
      <c r="F137" s="1"/>
      <c r="G137" s="1"/>
      <c r="H137" s="1"/>
      <c r="I137" s="1"/>
      <c r="J137" s="1"/>
      <c r="K137" s="1"/>
      <c r="L137" s="1"/>
      <c r="M137" s="1"/>
      <c r="N137" s="1"/>
    </row>
    <row r="138" spans="1:14" x14ac:dyDescent="0.2">
      <c r="A138" s="219"/>
      <c r="B138" s="53">
        <f t="shared" si="58"/>
        <v>2027</v>
      </c>
      <c r="C138" s="96">
        <f t="shared" si="57"/>
        <v>91359.710369559572</v>
      </c>
      <c r="D138" s="1"/>
      <c r="E138" s="1"/>
      <c r="F138" s="1"/>
      <c r="G138" s="1"/>
      <c r="H138" s="1"/>
      <c r="I138" s="1"/>
      <c r="J138" s="1"/>
      <c r="K138" s="1"/>
      <c r="L138" s="1"/>
      <c r="M138" s="1"/>
      <c r="N138" s="1"/>
    </row>
    <row r="139" spans="1:14" x14ac:dyDescent="0.2">
      <c r="A139" s="219"/>
      <c r="B139" s="53">
        <f t="shared" si="58"/>
        <v>2028</v>
      </c>
      <c r="C139" s="96">
        <f t="shared" si="57"/>
        <v>59601.304393144492</v>
      </c>
      <c r="D139" s="1"/>
      <c r="E139" s="1"/>
      <c r="F139" s="1"/>
      <c r="G139" s="1"/>
      <c r="H139" s="1"/>
      <c r="I139" s="1"/>
      <c r="J139" s="1"/>
      <c r="K139" s="1"/>
      <c r="L139" s="1"/>
      <c r="M139" s="1"/>
      <c r="N139" s="1"/>
    </row>
    <row r="140" spans="1:14" x14ac:dyDescent="0.2">
      <c r="A140" s="220"/>
      <c r="B140" s="53">
        <f t="shared" si="58"/>
        <v>2029</v>
      </c>
      <c r="C140" s="96">
        <f t="shared" si="57"/>
        <v>47697.550914677857</v>
      </c>
      <c r="D140" s="1"/>
      <c r="E140" s="1"/>
      <c r="F140" s="1"/>
      <c r="G140" s="1"/>
      <c r="H140" s="1"/>
      <c r="I140" s="1"/>
      <c r="J140" s="1"/>
      <c r="K140" s="1"/>
      <c r="L140" s="1"/>
      <c r="M140" s="1"/>
      <c r="N140" s="1"/>
    </row>
    <row r="141" spans="1:14" x14ac:dyDescent="0.2">
      <c r="A141" s="175"/>
      <c r="B141" s="58" t="s">
        <v>259</v>
      </c>
      <c r="C141" s="96">
        <f>SUM(C129:C140)</f>
        <v>3162821.4690594859</v>
      </c>
      <c r="D141" s="1"/>
      <c r="E141" s="1"/>
      <c r="F141" s="1"/>
      <c r="G141" s="1"/>
      <c r="H141" s="1"/>
      <c r="I141" s="1"/>
      <c r="J141" s="1"/>
      <c r="K141" s="1"/>
      <c r="L141" s="1"/>
      <c r="M141" s="1"/>
      <c r="N141" s="1"/>
    </row>
  </sheetData>
  <sheetProtection formatCells="0" formatRows="0"/>
  <mergeCells count="190">
    <mergeCell ref="A129:A140"/>
    <mergeCell ref="R68:S68"/>
    <mergeCell ref="R69:S69"/>
    <mergeCell ref="R70:S70"/>
    <mergeCell ref="R71:S71"/>
    <mergeCell ref="R72:S72"/>
    <mergeCell ref="R73:S73"/>
    <mergeCell ref="M48:N48"/>
    <mergeCell ref="A126:B126"/>
    <mergeCell ref="A127:B127"/>
    <mergeCell ref="A128:B128"/>
    <mergeCell ref="A78:B78"/>
    <mergeCell ref="C54:G54"/>
    <mergeCell ref="M59:Q59"/>
    <mergeCell ref="M58:Q58"/>
    <mergeCell ref="A79:B79"/>
    <mergeCell ref="A80:B80"/>
    <mergeCell ref="A81:B81"/>
    <mergeCell ref="C60:G60"/>
    <mergeCell ref="M60:Q60"/>
    <mergeCell ref="A77:B77"/>
    <mergeCell ref="A60:B60"/>
    <mergeCell ref="H60:L60"/>
    <mergeCell ref="C78:D78"/>
    <mergeCell ref="AA18:AB18"/>
    <mergeCell ref="AA19:AB19"/>
    <mergeCell ref="R52:S52"/>
    <mergeCell ref="O4:Z4"/>
    <mergeCell ref="AA4:AB4"/>
    <mergeCell ref="AA5:AB5"/>
    <mergeCell ref="AA6:AB6"/>
    <mergeCell ref="AA7:AB7"/>
    <mergeCell ref="AA8:AB8"/>
    <mergeCell ref="AA9:AB9"/>
    <mergeCell ref="AA10:AB10"/>
    <mergeCell ref="AA11:AB11"/>
    <mergeCell ref="AA12:AB12"/>
    <mergeCell ref="M41:N41"/>
    <mergeCell ref="M42:N42"/>
    <mergeCell ref="AA20:AB20"/>
    <mergeCell ref="M43:N43"/>
    <mergeCell ref="M44:N44"/>
    <mergeCell ref="M45:N45"/>
    <mergeCell ref="M46:N46"/>
    <mergeCell ref="M47:N47"/>
    <mergeCell ref="O5:Z5"/>
    <mergeCell ref="O6:Z6"/>
    <mergeCell ref="M32:N32"/>
    <mergeCell ref="M33:N33"/>
    <mergeCell ref="M34:N34"/>
    <mergeCell ref="M35:N35"/>
    <mergeCell ref="M36:N36"/>
    <mergeCell ref="M37:N37"/>
    <mergeCell ref="M38:N38"/>
    <mergeCell ref="M39:N39"/>
    <mergeCell ref="M40:N40"/>
    <mergeCell ref="AA13:AB13"/>
    <mergeCell ref="AA14:AB14"/>
    <mergeCell ref="AA15:AB15"/>
    <mergeCell ref="AA16:AB16"/>
    <mergeCell ref="AA17:AB17"/>
    <mergeCell ref="C58:G58"/>
    <mergeCell ref="J77:L77"/>
    <mergeCell ref="J78:L78"/>
    <mergeCell ref="J79:L79"/>
    <mergeCell ref="A54:B57"/>
    <mergeCell ref="C77:D77"/>
    <mergeCell ref="C79:D79"/>
    <mergeCell ref="E77:F77"/>
    <mergeCell ref="E78:F78"/>
    <mergeCell ref="E79:F79"/>
    <mergeCell ref="G77:I77"/>
    <mergeCell ref="G78:I78"/>
    <mergeCell ref="G79:I79"/>
    <mergeCell ref="H56:L56"/>
    <mergeCell ref="H58:L58"/>
    <mergeCell ref="C59:G59"/>
    <mergeCell ref="H59:L59"/>
    <mergeCell ref="A107:B107"/>
    <mergeCell ref="A88:B88"/>
    <mergeCell ref="A84:B84"/>
    <mergeCell ref="A85:B85"/>
    <mergeCell ref="A86:B86"/>
    <mergeCell ref="A87:B87"/>
    <mergeCell ref="A89:A100"/>
    <mergeCell ref="U86:V86"/>
    <mergeCell ref="S86:T86"/>
    <mergeCell ref="U85:V85"/>
    <mergeCell ref="U84:V84"/>
    <mergeCell ref="G87:I87"/>
    <mergeCell ref="J87:L87"/>
    <mergeCell ref="G86:L86"/>
    <mergeCell ref="G85:L85"/>
    <mergeCell ref="G84:L84"/>
    <mergeCell ref="Z105:AK105"/>
    <mergeCell ref="Z106:AK106"/>
    <mergeCell ref="Z107:AK107"/>
    <mergeCell ref="M87:O87"/>
    <mergeCell ref="P87:R87"/>
    <mergeCell ref="M86:R86"/>
    <mergeCell ref="M85:R85"/>
    <mergeCell ref="M84:R84"/>
    <mergeCell ref="N54:N57"/>
    <mergeCell ref="M54:M57"/>
    <mergeCell ref="R60:S60"/>
    <mergeCell ref="R61:S61"/>
    <mergeCell ref="R62:S62"/>
    <mergeCell ref="R63:S63"/>
    <mergeCell ref="R64:S64"/>
    <mergeCell ref="R65:S65"/>
    <mergeCell ref="R66:S66"/>
    <mergeCell ref="R67:S67"/>
    <mergeCell ref="P77:R77"/>
    <mergeCell ref="P78:R78"/>
    <mergeCell ref="P79:R79"/>
    <mergeCell ref="S77:U77"/>
    <mergeCell ref="S78:U78"/>
    <mergeCell ref="S79:U79"/>
    <mergeCell ref="A110:A121"/>
    <mergeCell ref="AL105:AW105"/>
    <mergeCell ref="AL106:AW106"/>
    <mergeCell ref="AL107:AW107"/>
    <mergeCell ref="S84:T84"/>
    <mergeCell ref="S85:T85"/>
    <mergeCell ref="C105:N105"/>
    <mergeCell ref="C106:N106"/>
    <mergeCell ref="C107:N107"/>
    <mergeCell ref="E86:F86"/>
    <mergeCell ref="E85:F85"/>
    <mergeCell ref="C86:D86"/>
    <mergeCell ref="W84:X84"/>
    <mergeCell ref="W85:X85"/>
    <mergeCell ref="W86:X86"/>
    <mergeCell ref="C84:D84"/>
    <mergeCell ref="C85:D85"/>
    <mergeCell ref="E84:F84"/>
    <mergeCell ref="O105:Y105"/>
    <mergeCell ref="O106:Y106"/>
    <mergeCell ref="O107:Y107"/>
    <mergeCell ref="A108:B108"/>
    <mergeCell ref="A105:B105"/>
    <mergeCell ref="A106:B106"/>
    <mergeCell ref="R53:S53"/>
    <mergeCell ref="R54:S57"/>
    <mergeCell ref="R58:S58"/>
    <mergeCell ref="R59:S59"/>
    <mergeCell ref="A24:B24"/>
    <mergeCell ref="C24:G24"/>
    <mergeCell ref="H24:L24"/>
    <mergeCell ref="A25:B25"/>
    <mergeCell ref="C25:G25"/>
    <mergeCell ref="H25:L25"/>
    <mergeCell ref="H34:L34"/>
    <mergeCell ref="A34:B34"/>
    <mergeCell ref="C32:G32"/>
    <mergeCell ref="C33:G33"/>
    <mergeCell ref="A35:B35"/>
    <mergeCell ref="C34:G34"/>
    <mergeCell ref="A52:B52"/>
    <mergeCell ref="A58:B58"/>
    <mergeCell ref="A59:B59"/>
    <mergeCell ref="A53:B53"/>
    <mergeCell ref="A36:A47"/>
    <mergeCell ref="P54:P57"/>
    <mergeCell ref="Q54:Q57"/>
    <mergeCell ref="O54:O57"/>
    <mergeCell ref="M77:O77"/>
    <mergeCell ref="M78:O78"/>
    <mergeCell ref="M79:O79"/>
    <mergeCell ref="A4:B4"/>
    <mergeCell ref="C4:N4"/>
    <mergeCell ref="A5:B5"/>
    <mergeCell ref="C5:N5"/>
    <mergeCell ref="A6:B6"/>
    <mergeCell ref="C6:N6"/>
    <mergeCell ref="A7:B7"/>
    <mergeCell ref="H33:L33"/>
    <mergeCell ref="H32:L32"/>
    <mergeCell ref="A33:B33"/>
    <mergeCell ref="A26:B26"/>
    <mergeCell ref="C26:G26"/>
    <mergeCell ref="H26:L26"/>
    <mergeCell ref="A27:B27"/>
    <mergeCell ref="A28:B28"/>
    <mergeCell ref="A32:B32"/>
    <mergeCell ref="A8:A19"/>
    <mergeCell ref="C55:G55"/>
    <mergeCell ref="C56:G56"/>
    <mergeCell ref="A61:A72"/>
    <mergeCell ref="H54:L54"/>
  </mergeCells>
  <phoneticPr fontId="9"/>
  <dataValidations disablePrompts="1" count="1">
    <dataValidation type="list" allowBlank="1" showInputMessage="1" showErrorMessage="1" prompt="select fuel type" sqref="C53:G53" xr:uid="{12D6B4B6-641C-4059-9399-3C565F931AB4}">
      <formula1>$C$27:$G$27</formula1>
    </dataValidation>
  </dataValidations>
  <pageMargins left="0.7" right="0.7" top="0.75" bottom="0.75" header="0.3" footer="0.3"/>
  <pageSetup scale="1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64DB-077D-4E1B-96EE-359EBC8376D5}">
  <sheetPr>
    <tabColor theme="3" tint="0.39997558519241921"/>
  </sheetPr>
  <dimension ref="A1:L110"/>
  <sheetViews>
    <sheetView view="pageBreakPreview" zoomScale="70" zoomScaleNormal="85" zoomScaleSheetLayoutView="70" workbookViewId="0"/>
  </sheetViews>
  <sheetFormatPr defaultColWidth="9" defaultRowHeight="14" x14ac:dyDescent="0.2"/>
  <cols>
    <col min="1" max="3" width="3.6328125" style="10" customWidth="1"/>
    <col min="4" max="4" width="53.453125" style="10" customWidth="1"/>
    <col min="5" max="5" width="25.08984375" style="10" bestFit="1" customWidth="1"/>
    <col min="6" max="6" width="15.453125" style="10" customWidth="1"/>
    <col min="7" max="7" width="17.453125" style="10" customWidth="1"/>
    <col min="8" max="8" width="11" style="97" customWidth="1"/>
    <col min="9" max="16384" width="9" style="10"/>
  </cols>
  <sheetData>
    <row r="1" spans="1:8" x14ac:dyDescent="0.2">
      <c r="H1" s="3" t="str">
        <f>'MPS(input_Option1)'!K1</f>
        <v>Monitoring Spreadsheet: JCM_KH_AM004_ver01.1</v>
      </c>
    </row>
    <row r="2" spans="1:8" ht="18" customHeight="1" x14ac:dyDescent="0.2">
      <c r="H2" s="3" t="str">
        <f>'MPS(input_Option1)'!K2</f>
        <v>Reference Number: KH005</v>
      </c>
    </row>
    <row r="3" spans="1:8" ht="15.5" x14ac:dyDescent="0.2">
      <c r="A3" s="4" t="s">
        <v>338</v>
      </c>
      <c r="B3" s="5"/>
      <c r="C3" s="5"/>
      <c r="D3" s="5"/>
      <c r="E3" s="5"/>
      <c r="F3" s="5"/>
      <c r="G3" s="5"/>
      <c r="H3" s="5"/>
    </row>
    <row r="4" spans="1:8" ht="11.25" customHeight="1" x14ac:dyDescent="0.2"/>
    <row r="5" spans="1:8" ht="18.75" customHeight="1" thickBot="1" x14ac:dyDescent="0.25">
      <c r="A5" s="98" t="s">
        <v>339</v>
      </c>
      <c r="B5" s="99"/>
      <c r="C5" s="99"/>
      <c r="D5" s="100"/>
      <c r="E5" s="101" t="s">
        <v>340</v>
      </c>
      <c r="F5" s="102" t="s">
        <v>341</v>
      </c>
      <c r="G5" s="101" t="s">
        <v>17</v>
      </c>
      <c r="H5" s="103" t="s">
        <v>342</v>
      </c>
    </row>
    <row r="6" spans="1:8" s="16" customFormat="1" ht="18.75" customHeight="1" thickBot="1" x14ac:dyDescent="0.25">
      <c r="A6" s="104"/>
      <c r="B6" s="105" t="s">
        <v>343</v>
      </c>
      <c r="C6" s="105"/>
      <c r="D6" s="105"/>
      <c r="E6" s="106"/>
      <c r="F6" s="107">
        <f>SUM(F8:F19)</f>
        <v>4149247.1800403707</v>
      </c>
      <c r="G6" s="108" t="s">
        <v>344</v>
      </c>
      <c r="H6" s="109" t="s">
        <v>345</v>
      </c>
    </row>
    <row r="7" spans="1:8" s="16" customFormat="1" ht="18.75" customHeight="1" x14ac:dyDescent="0.2">
      <c r="A7" s="110"/>
      <c r="B7" s="111"/>
      <c r="C7" s="112" t="s">
        <v>346</v>
      </c>
      <c r="D7" s="113"/>
      <c r="E7" s="114"/>
      <c r="F7" s="115"/>
      <c r="G7" s="116"/>
      <c r="H7" s="117"/>
    </row>
    <row r="8" spans="1:8" s="16" customFormat="1" ht="18.75" customHeight="1" x14ac:dyDescent="0.2">
      <c r="A8" s="110"/>
      <c r="B8" s="118"/>
      <c r="C8" s="118"/>
      <c r="D8" s="119">
        <f>'MPS(input_RL_Opt1)'!B8</f>
        <v>2018</v>
      </c>
      <c r="E8" s="120"/>
      <c r="F8" s="121">
        <f>(F23-(F38+F51+F64+F77))*(1-F$90*0.01)</f>
        <v>404757.56602766813</v>
      </c>
      <c r="G8" s="122" t="s">
        <v>344</v>
      </c>
      <c r="H8" s="109" t="s">
        <v>347</v>
      </c>
    </row>
    <row r="9" spans="1:8" s="16" customFormat="1" ht="18.75" customHeight="1" x14ac:dyDescent="0.2">
      <c r="A9" s="110"/>
      <c r="B9" s="118"/>
      <c r="C9" s="118"/>
      <c r="D9" s="119">
        <f>D8+1</f>
        <v>2019</v>
      </c>
      <c r="E9" s="120"/>
      <c r="F9" s="121">
        <f>(F24-(F39+F52+F65+F78))*(1-F$90*0.01)</f>
        <v>204523.4463139468</v>
      </c>
      <c r="G9" s="122" t="s">
        <v>344</v>
      </c>
      <c r="H9" s="109" t="s">
        <v>347</v>
      </c>
    </row>
    <row r="10" spans="1:8" s="16" customFormat="1" ht="18.75" customHeight="1" x14ac:dyDescent="0.2">
      <c r="A10" s="110"/>
      <c r="B10" s="118"/>
      <c r="C10" s="118"/>
      <c r="D10" s="119">
        <f t="shared" ref="D10:D19" si="0">D9+1</f>
        <v>2020</v>
      </c>
      <c r="E10" s="120"/>
      <c r="F10" s="121">
        <f t="shared" ref="F10:F19" si="1">(F25-(F40+F53+F66+F79))*(1-F$90*0.01)</f>
        <v>237798.20975530255</v>
      </c>
      <c r="G10" s="122" t="s">
        <v>344</v>
      </c>
      <c r="H10" s="109" t="s">
        <v>347</v>
      </c>
    </row>
    <row r="11" spans="1:8" s="16" customFormat="1" ht="18.75" customHeight="1" x14ac:dyDescent="0.2">
      <c r="A11" s="110"/>
      <c r="B11" s="118"/>
      <c r="C11" s="118"/>
      <c r="D11" s="119">
        <f t="shared" si="0"/>
        <v>2021</v>
      </c>
      <c r="E11" s="120"/>
      <c r="F11" s="121">
        <f t="shared" si="1"/>
        <v>266238.20966448885</v>
      </c>
      <c r="G11" s="122" t="s">
        <v>344</v>
      </c>
      <c r="H11" s="109" t="s">
        <v>347</v>
      </c>
    </row>
    <row r="12" spans="1:8" s="16" customFormat="1" ht="18.75" customHeight="1" x14ac:dyDescent="0.2">
      <c r="A12" s="110"/>
      <c r="B12" s="118"/>
      <c r="C12" s="118"/>
      <c r="D12" s="119">
        <f t="shared" si="0"/>
        <v>2022</v>
      </c>
      <c r="E12" s="120"/>
      <c r="F12" s="121">
        <f t="shared" si="1"/>
        <v>290399.68520057457</v>
      </c>
      <c r="G12" s="122" t="s">
        <v>344</v>
      </c>
      <c r="H12" s="109" t="s">
        <v>347</v>
      </c>
    </row>
    <row r="13" spans="1:8" s="16" customFormat="1" ht="18.75" customHeight="1" x14ac:dyDescent="0.2">
      <c r="A13" s="110"/>
      <c r="B13" s="118"/>
      <c r="C13" s="118"/>
      <c r="D13" s="119">
        <f t="shared" si="0"/>
        <v>2023</v>
      </c>
      <c r="E13" s="120"/>
      <c r="F13" s="121">
        <f t="shared" si="1"/>
        <v>310718.78888502915</v>
      </c>
      <c r="G13" s="122" t="s">
        <v>344</v>
      </c>
      <c r="H13" s="109" t="s">
        <v>347</v>
      </c>
    </row>
    <row r="14" spans="1:8" s="16" customFormat="1" ht="18.75" customHeight="1" x14ac:dyDescent="0.2">
      <c r="A14" s="110"/>
      <c r="B14" s="118"/>
      <c r="C14" s="118"/>
      <c r="D14" s="119">
        <f t="shared" si="0"/>
        <v>2024</v>
      </c>
      <c r="E14" s="120"/>
      <c r="F14" s="121">
        <f t="shared" si="1"/>
        <v>327653.13334949315</v>
      </c>
      <c r="G14" s="122" t="s">
        <v>344</v>
      </c>
      <c r="H14" s="109" t="s">
        <v>347</v>
      </c>
    </row>
    <row r="15" spans="1:8" s="16" customFormat="1" ht="18.75" customHeight="1" x14ac:dyDescent="0.2">
      <c r="A15" s="110"/>
      <c r="B15" s="118"/>
      <c r="C15" s="118"/>
      <c r="D15" s="119">
        <f t="shared" si="0"/>
        <v>2025</v>
      </c>
      <c r="E15" s="120"/>
      <c r="F15" s="121">
        <f t="shared" si="1"/>
        <v>375356.36868293496</v>
      </c>
      <c r="G15" s="122" t="s">
        <v>344</v>
      </c>
      <c r="H15" s="109" t="s">
        <v>347</v>
      </c>
    </row>
    <row r="16" spans="1:8" s="16" customFormat="1" ht="18.75" customHeight="1" x14ac:dyDescent="0.2">
      <c r="A16" s="110"/>
      <c r="B16" s="118"/>
      <c r="C16" s="118"/>
      <c r="D16" s="119">
        <f t="shared" si="0"/>
        <v>2026</v>
      </c>
      <c r="E16" s="120"/>
      <c r="F16" s="121">
        <f t="shared" si="1"/>
        <v>410251.0229066725</v>
      </c>
      <c r="G16" s="122" t="s">
        <v>344</v>
      </c>
      <c r="H16" s="109" t="s">
        <v>347</v>
      </c>
    </row>
    <row r="17" spans="1:8" s="16" customFormat="1" ht="18.75" customHeight="1" x14ac:dyDescent="0.2">
      <c r="A17" s="110"/>
      <c r="B17" s="118"/>
      <c r="C17" s="118"/>
      <c r="D17" s="119">
        <f t="shared" si="0"/>
        <v>2027</v>
      </c>
      <c r="E17" s="120"/>
      <c r="F17" s="121">
        <f t="shared" si="1"/>
        <v>434991.12060165172</v>
      </c>
      <c r="G17" s="122" t="s">
        <v>344</v>
      </c>
      <c r="H17" s="109" t="s">
        <v>347</v>
      </c>
    </row>
    <row r="18" spans="1:8" s="16" customFormat="1" ht="18.75" customHeight="1" x14ac:dyDescent="0.2">
      <c r="A18" s="110"/>
      <c r="B18" s="118"/>
      <c r="C18" s="118"/>
      <c r="D18" s="119">
        <f t="shared" si="0"/>
        <v>2028</v>
      </c>
      <c r="E18" s="120"/>
      <c r="F18" s="121">
        <f t="shared" si="1"/>
        <v>445647.99201576971</v>
      </c>
      <c r="G18" s="122" t="s">
        <v>344</v>
      </c>
      <c r="H18" s="109" t="s">
        <v>347</v>
      </c>
    </row>
    <row r="19" spans="1:8" s="16" customFormat="1" ht="18.75" customHeight="1" x14ac:dyDescent="0.2">
      <c r="A19" s="110"/>
      <c r="B19" s="118"/>
      <c r="C19" s="118"/>
      <c r="D19" s="119">
        <f t="shared" si="0"/>
        <v>2029</v>
      </c>
      <c r="E19" s="120"/>
      <c r="F19" s="121">
        <f t="shared" si="1"/>
        <v>440911.63663683855</v>
      </c>
      <c r="G19" s="122" t="s">
        <v>344</v>
      </c>
      <c r="H19" s="109" t="s">
        <v>347</v>
      </c>
    </row>
    <row r="20" spans="1:8" ht="18.75" customHeight="1" thickBot="1" x14ac:dyDescent="0.25">
      <c r="A20" s="98" t="s">
        <v>348</v>
      </c>
      <c r="B20" s="100"/>
      <c r="C20" s="99"/>
      <c r="D20" s="101"/>
      <c r="E20" s="101"/>
      <c r="F20" s="123"/>
      <c r="G20" s="100"/>
      <c r="H20" s="103"/>
    </row>
    <row r="21" spans="1:8" s="16" customFormat="1" ht="18.75" customHeight="1" thickBot="1" x14ac:dyDescent="0.25">
      <c r="A21" s="110"/>
      <c r="B21" s="124" t="s">
        <v>349</v>
      </c>
      <c r="C21" s="124"/>
      <c r="D21" s="124"/>
      <c r="E21" s="106"/>
      <c r="F21" s="107">
        <f>SUM(F23:F34)</f>
        <v>8349380.4441099493</v>
      </c>
      <c r="G21" s="108" t="s">
        <v>344</v>
      </c>
      <c r="H21" s="109" t="s">
        <v>350</v>
      </c>
    </row>
    <row r="22" spans="1:8" s="16" customFormat="1" ht="18.75" customHeight="1" x14ac:dyDescent="0.2">
      <c r="A22" s="110"/>
      <c r="B22" s="111"/>
      <c r="C22" s="112" t="s">
        <v>351</v>
      </c>
      <c r="D22" s="113"/>
      <c r="E22" s="114"/>
      <c r="F22" s="115"/>
      <c r="G22" s="116"/>
      <c r="H22" s="117"/>
    </row>
    <row r="23" spans="1:8" ht="18.75" customHeight="1" x14ac:dyDescent="0.2">
      <c r="A23" s="125"/>
      <c r="B23" s="126"/>
      <c r="C23" s="126"/>
      <c r="D23" s="127">
        <f>D8</f>
        <v>2018</v>
      </c>
      <c r="E23" s="128" t="s">
        <v>352</v>
      </c>
      <c r="F23" s="129">
        <f>'MPS(input_RL_Opt1)'!AA8</f>
        <v>670101.48824726942</v>
      </c>
      <c r="G23" s="43" t="s">
        <v>353</v>
      </c>
      <c r="H23" s="130" t="s">
        <v>354</v>
      </c>
    </row>
    <row r="24" spans="1:8" ht="18.75" customHeight="1" x14ac:dyDescent="0.2">
      <c r="A24" s="125"/>
      <c r="B24" s="126"/>
      <c r="C24" s="126"/>
      <c r="D24" s="127">
        <f t="shared" ref="D24:D34" si="2">D9</f>
        <v>2019</v>
      </c>
      <c r="E24" s="128" t="s">
        <v>352</v>
      </c>
      <c r="F24" s="129">
        <f>'MPS(input_RL_Opt1)'!AA9</f>
        <v>808618.43602507014</v>
      </c>
      <c r="G24" s="43" t="s">
        <v>353</v>
      </c>
      <c r="H24" s="130" t="s">
        <v>354</v>
      </c>
    </row>
    <row r="25" spans="1:8" ht="18.75" customHeight="1" x14ac:dyDescent="0.2">
      <c r="A25" s="125"/>
      <c r="B25" s="126"/>
      <c r="C25" s="126"/>
      <c r="D25" s="127">
        <f t="shared" si="2"/>
        <v>2020</v>
      </c>
      <c r="E25" s="128" t="s">
        <v>352</v>
      </c>
      <c r="F25" s="129">
        <f>'MPS(input_RL_Opt1)'!AA10</f>
        <v>784037.78908806853</v>
      </c>
      <c r="G25" s="43" t="s">
        <v>353</v>
      </c>
      <c r="H25" s="130" t="s">
        <v>354</v>
      </c>
    </row>
    <row r="26" spans="1:8" ht="18.75" customHeight="1" x14ac:dyDescent="0.2">
      <c r="A26" s="125"/>
      <c r="B26" s="126"/>
      <c r="C26" s="126"/>
      <c r="D26" s="127">
        <f t="shared" si="2"/>
        <v>2021</v>
      </c>
      <c r="E26" s="128" t="s">
        <v>352</v>
      </c>
      <c r="F26" s="129">
        <f>'MPS(input_RL_Opt1)'!AA11</f>
        <v>760370.67291604518</v>
      </c>
      <c r="G26" s="43" t="s">
        <v>353</v>
      </c>
      <c r="H26" s="130" t="s">
        <v>354</v>
      </c>
    </row>
    <row r="27" spans="1:8" ht="18.75" customHeight="1" x14ac:dyDescent="0.2">
      <c r="A27" s="125"/>
      <c r="B27" s="126"/>
      <c r="C27" s="126"/>
      <c r="D27" s="127">
        <f t="shared" si="2"/>
        <v>2022</v>
      </c>
      <c r="E27" s="128" t="s">
        <v>352</v>
      </c>
      <c r="F27" s="129">
        <f>'MPS(input_RL_Opt1)'!AA12</f>
        <v>737569.18652484159</v>
      </c>
      <c r="G27" s="43" t="s">
        <v>353</v>
      </c>
      <c r="H27" s="130" t="s">
        <v>354</v>
      </c>
    </row>
    <row r="28" spans="1:8" ht="18.75" customHeight="1" x14ac:dyDescent="0.2">
      <c r="A28" s="125"/>
      <c r="B28" s="126"/>
      <c r="C28" s="126"/>
      <c r="D28" s="127">
        <f t="shared" si="2"/>
        <v>2023</v>
      </c>
      <c r="E28" s="128" t="s">
        <v>352</v>
      </c>
      <c r="F28" s="129">
        <f>'MPS(input_RL_Opt1)'!AA13</f>
        <v>715588.93460560299</v>
      </c>
      <c r="G28" s="43" t="s">
        <v>353</v>
      </c>
      <c r="H28" s="130" t="s">
        <v>354</v>
      </c>
    </row>
    <row r="29" spans="1:8" ht="18.75" customHeight="1" x14ac:dyDescent="0.2">
      <c r="A29" s="125"/>
      <c r="B29" s="126"/>
      <c r="C29" s="126"/>
      <c r="D29" s="127">
        <f t="shared" si="2"/>
        <v>2024</v>
      </c>
      <c r="E29" s="128" t="s">
        <v>352</v>
      </c>
      <c r="F29" s="129">
        <f>'MPS(input_RL_Opt1)'!AA14</f>
        <v>694388.71962756221</v>
      </c>
      <c r="G29" s="43" t="s">
        <v>353</v>
      </c>
      <c r="H29" s="130" t="s">
        <v>354</v>
      </c>
    </row>
    <row r="30" spans="1:8" ht="18.75" customHeight="1" x14ac:dyDescent="0.2">
      <c r="A30" s="125"/>
      <c r="B30" s="126"/>
      <c r="C30" s="126"/>
      <c r="D30" s="127">
        <f t="shared" si="2"/>
        <v>2025</v>
      </c>
      <c r="E30" s="128" t="s">
        <v>352</v>
      </c>
      <c r="F30" s="129">
        <f>'MPS(input_RL_Opt1)'!AA15</f>
        <v>673930.26291565096</v>
      </c>
      <c r="G30" s="43" t="s">
        <v>353</v>
      </c>
      <c r="H30" s="130" t="s">
        <v>354</v>
      </c>
    </row>
    <row r="31" spans="1:8" ht="18.75" customHeight="1" x14ac:dyDescent="0.2">
      <c r="A31" s="125"/>
      <c r="B31" s="126"/>
      <c r="C31" s="126"/>
      <c r="D31" s="127">
        <f t="shared" si="2"/>
        <v>2026</v>
      </c>
      <c r="E31" s="128" t="s">
        <v>352</v>
      </c>
      <c r="F31" s="129">
        <f>'MPS(input_RL_Opt1)'!AA16</f>
        <v>654177.95191463153</v>
      </c>
      <c r="G31" s="43" t="s">
        <v>353</v>
      </c>
      <c r="H31" s="130" t="s">
        <v>354</v>
      </c>
    </row>
    <row r="32" spans="1:8" ht="18.75" customHeight="1" x14ac:dyDescent="0.2">
      <c r="A32" s="125"/>
      <c r="B32" s="126"/>
      <c r="C32" s="126"/>
      <c r="D32" s="127">
        <f t="shared" si="2"/>
        <v>2027</v>
      </c>
      <c r="E32" s="128" t="s">
        <v>352</v>
      </c>
      <c r="F32" s="129">
        <f>'MPS(input_RL_Opt1)'!AA17</f>
        <v>635098.61112162424</v>
      </c>
      <c r="G32" s="43" t="s">
        <v>353</v>
      </c>
      <c r="H32" s="130" t="s">
        <v>354</v>
      </c>
    </row>
    <row r="33" spans="1:8" ht="18.75" customHeight="1" x14ac:dyDescent="0.2">
      <c r="A33" s="125"/>
      <c r="B33" s="126"/>
      <c r="C33" s="126"/>
      <c r="D33" s="127">
        <f t="shared" si="2"/>
        <v>2028</v>
      </c>
      <c r="E33" s="128" t="s">
        <v>352</v>
      </c>
      <c r="F33" s="129">
        <f>'MPS(input_RL_Opt1)'!AA18</f>
        <v>616661.29441285657</v>
      </c>
      <c r="G33" s="43" t="s">
        <v>353</v>
      </c>
      <c r="H33" s="130" t="s">
        <v>354</v>
      </c>
    </row>
    <row r="34" spans="1:8" ht="18.75" customHeight="1" x14ac:dyDescent="0.2">
      <c r="A34" s="125"/>
      <c r="B34" s="126"/>
      <c r="C34" s="126"/>
      <c r="D34" s="127">
        <f t="shared" si="2"/>
        <v>2029</v>
      </c>
      <c r="E34" s="128" t="s">
        <v>352</v>
      </c>
      <c r="F34" s="129">
        <f>'MPS(input_RL_Opt1)'!AA19</f>
        <v>598837.09671072604</v>
      </c>
      <c r="G34" s="43" t="s">
        <v>353</v>
      </c>
      <c r="H34" s="130" t="s">
        <v>354</v>
      </c>
    </row>
    <row r="35" spans="1:8" ht="18.75" customHeight="1" thickBot="1" x14ac:dyDescent="0.25">
      <c r="A35" s="98" t="s">
        <v>355</v>
      </c>
      <c r="B35" s="99"/>
      <c r="C35" s="99"/>
      <c r="D35" s="100"/>
      <c r="E35" s="101"/>
      <c r="F35" s="123"/>
      <c r="G35" s="100"/>
      <c r="H35" s="103"/>
    </row>
    <row r="36" spans="1:8" ht="18.75" customHeight="1" thickBot="1" x14ac:dyDescent="0.25">
      <c r="A36" s="125"/>
      <c r="B36" s="124" t="s">
        <v>356</v>
      </c>
      <c r="C36" s="124"/>
      <c r="D36" s="124"/>
      <c r="E36" s="106"/>
      <c r="F36" s="107">
        <f>SUM(F38:F49)+SUM(F51:F62)+SUM(F64:F75)+SUM(F77:F88)</f>
        <v>3162821.4690594859</v>
      </c>
      <c r="G36" s="108" t="s">
        <v>344</v>
      </c>
      <c r="H36" s="109" t="s">
        <v>357</v>
      </c>
    </row>
    <row r="37" spans="1:8" ht="18.75" customHeight="1" x14ac:dyDescent="0.2">
      <c r="A37" s="125"/>
      <c r="B37" s="111"/>
      <c r="C37" s="112" t="s">
        <v>358</v>
      </c>
      <c r="D37" s="113"/>
      <c r="E37" s="114"/>
      <c r="F37" s="115"/>
      <c r="G37" s="116"/>
      <c r="H37" s="117"/>
    </row>
    <row r="38" spans="1:8" ht="18.75" customHeight="1" x14ac:dyDescent="0.2">
      <c r="A38" s="125"/>
      <c r="B38" s="118"/>
      <c r="C38" s="118"/>
      <c r="D38" s="119">
        <f>D23</f>
        <v>2018</v>
      </c>
      <c r="E38" s="120" t="s">
        <v>352</v>
      </c>
      <c r="F38" s="121">
        <f>'MPS(input_PJ_Opt1)'!AA8*(44/12)</f>
        <v>107223.62843333305</v>
      </c>
      <c r="G38" s="108" t="s">
        <v>344</v>
      </c>
      <c r="H38" s="109" t="s">
        <v>359</v>
      </c>
    </row>
    <row r="39" spans="1:8" ht="18.75" customHeight="1" x14ac:dyDescent="0.2">
      <c r="A39" s="125"/>
      <c r="B39" s="118"/>
      <c r="C39" s="118"/>
      <c r="D39" s="119">
        <f t="shared" ref="D39:D49" si="3">D24</f>
        <v>2019</v>
      </c>
      <c r="E39" s="120" t="s">
        <v>352</v>
      </c>
      <c r="F39" s="121">
        <f>'MPS(input_PJ_Opt1)'!AA9*(44/12)</f>
        <v>246082.89844694815</v>
      </c>
      <c r="G39" s="108" t="s">
        <v>344</v>
      </c>
      <c r="H39" s="109" t="s">
        <v>359</v>
      </c>
    </row>
    <row r="40" spans="1:8" ht="18.75" customHeight="1" x14ac:dyDescent="0.2">
      <c r="A40" s="125"/>
      <c r="B40" s="118"/>
      <c r="C40" s="118"/>
      <c r="D40" s="119">
        <f t="shared" si="3"/>
        <v>2020</v>
      </c>
      <c r="E40" s="120" t="s">
        <v>352</v>
      </c>
      <c r="F40" s="121">
        <f>'MPS(input_PJ_Opt1)'!AA10*(44/12)</f>
        <v>221474.60860225331</v>
      </c>
      <c r="G40" s="108" t="s">
        <v>344</v>
      </c>
      <c r="H40" s="109" t="s">
        <v>359</v>
      </c>
    </row>
    <row r="41" spans="1:8" ht="18.75" customHeight="1" x14ac:dyDescent="0.2">
      <c r="A41" s="125"/>
      <c r="B41" s="118"/>
      <c r="C41" s="118"/>
      <c r="D41" s="119">
        <f t="shared" si="3"/>
        <v>2021</v>
      </c>
      <c r="E41" s="120" t="s">
        <v>352</v>
      </c>
      <c r="F41" s="121">
        <f>'MPS(input_PJ_Opt1)'!AA11*(44/12)</f>
        <v>199327.147742028</v>
      </c>
      <c r="G41" s="108" t="s">
        <v>344</v>
      </c>
      <c r="H41" s="109" t="s">
        <v>359</v>
      </c>
    </row>
    <row r="42" spans="1:8" ht="18.75" customHeight="1" x14ac:dyDescent="0.2">
      <c r="A42" s="125"/>
      <c r="B42" s="118"/>
      <c r="C42" s="118"/>
      <c r="D42" s="119">
        <f t="shared" si="3"/>
        <v>2022</v>
      </c>
      <c r="E42" s="120" t="s">
        <v>352</v>
      </c>
      <c r="F42" s="121">
        <f>'MPS(input_PJ_Opt1)'!AA12*(44/12)</f>
        <v>179394.43296782524</v>
      </c>
      <c r="G42" s="108" t="s">
        <v>344</v>
      </c>
      <c r="H42" s="109" t="s">
        <v>359</v>
      </c>
    </row>
    <row r="43" spans="1:8" ht="18.75" customHeight="1" x14ac:dyDescent="0.2">
      <c r="A43" s="125"/>
      <c r="B43" s="118"/>
      <c r="C43" s="118"/>
      <c r="D43" s="119">
        <f t="shared" si="3"/>
        <v>2023</v>
      </c>
      <c r="E43" s="120" t="s">
        <v>352</v>
      </c>
      <c r="F43" s="121">
        <f>'MPS(input_PJ_Opt1)'!AA13*(44/12)</f>
        <v>161454.98967104268</v>
      </c>
      <c r="G43" s="108" t="s">
        <v>344</v>
      </c>
      <c r="H43" s="109" t="s">
        <v>359</v>
      </c>
    </row>
    <row r="44" spans="1:8" ht="18.75" customHeight="1" x14ac:dyDescent="0.2">
      <c r="A44" s="125"/>
      <c r="B44" s="118"/>
      <c r="C44" s="118"/>
      <c r="D44" s="119">
        <f t="shared" si="3"/>
        <v>2024</v>
      </c>
      <c r="E44" s="120" t="s">
        <v>352</v>
      </c>
      <c r="F44" s="121">
        <f>'MPS(input_PJ_Opt1)'!AA14*(44/12)</f>
        <v>145309.49070393841</v>
      </c>
      <c r="G44" s="108" t="s">
        <v>344</v>
      </c>
      <c r="H44" s="109" t="s">
        <v>359</v>
      </c>
    </row>
    <row r="45" spans="1:8" ht="18.75" customHeight="1" x14ac:dyDescent="0.2">
      <c r="A45" s="125"/>
      <c r="B45" s="118"/>
      <c r="C45" s="118"/>
      <c r="D45" s="119">
        <f t="shared" si="3"/>
        <v>2025</v>
      </c>
      <c r="E45" s="120" t="s">
        <v>352</v>
      </c>
      <c r="F45" s="121">
        <f>'MPS(input_PJ_Opt1)'!AA15*(44/12)</f>
        <v>116247.59256315076</v>
      </c>
      <c r="G45" s="108" t="s">
        <v>344</v>
      </c>
      <c r="H45" s="109" t="s">
        <v>359</v>
      </c>
    </row>
    <row r="46" spans="1:8" ht="18.75" customHeight="1" x14ac:dyDescent="0.2">
      <c r="A46" s="125"/>
      <c r="B46" s="118"/>
      <c r="C46" s="118"/>
      <c r="D46" s="119">
        <f t="shared" si="3"/>
        <v>2026</v>
      </c>
      <c r="E46" s="120" t="s">
        <v>352</v>
      </c>
      <c r="F46" s="121">
        <f>'MPS(input_PJ_Opt1)'!AA16*(44/12)</f>
        <v>92998.074050520605</v>
      </c>
      <c r="G46" s="108" t="s">
        <v>344</v>
      </c>
      <c r="H46" s="109" t="s">
        <v>359</v>
      </c>
    </row>
    <row r="47" spans="1:8" ht="18.75" customHeight="1" x14ac:dyDescent="0.2">
      <c r="A47" s="125"/>
      <c r="B47" s="118"/>
      <c r="C47" s="118"/>
      <c r="D47" s="119">
        <f t="shared" si="3"/>
        <v>2027</v>
      </c>
      <c r="E47" s="120" t="s">
        <v>352</v>
      </c>
      <c r="F47" s="121">
        <f>'MPS(input_PJ_Opt1)'!AA17*(44/12)</f>
        <v>74398.459240416487</v>
      </c>
      <c r="G47" s="108" t="s">
        <v>344</v>
      </c>
      <c r="H47" s="109" t="s">
        <v>359</v>
      </c>
    </row>
    <row r="48" spans="1:8" ht="18.75" customHeight="1" x14ac:dyDescent="0.2">
      <c r="A48" s="125"/>
      <c r="B48" s="118"/>
      <c r="C48" s="118"/>
      <c r="D48" s="119">
        <f t="shared" si="3"/>
        <v>2028</v>
      </c>
      <c r="E48" s="120" t="s">
        <v>352</v>
      </c>
      <c r="F48" s="121">
        <f>'MPS(input_PJ_Opt1)'!AA18*(44/12)</f>
        <v>59518.767392333197</v>
      </c>
      <c r="G48" s="108" t="s">
        <v>344</v>
      </c>
      <c r="H48" s="109" t="s">
        <v>359</v>
      </c>
    </row>
    <row r="49" spans="1:8" ht="18.75" customHeight="1" x14ac:dyDescent="0.2">
      <c r="A49" s="125"/>
      <c r="B49" s="118"/>
      <c r="C49" s="118"/>
      <c r="D49" s="119">
        <f t="shared" si="3"/>
        <v>2029</v>
      </c>
      <c r="E49" s="120" t="s">
        <v>352</v>
      </c>
      <c r="F49" s="121">
        <f>'MPS(input_PJ_Opt1)'!AA19*(44/12)</f>
        <v>47615.013913866562</v>
      </c>
      <c r="G49" s="108" t="s">
        <v>344</v>
      </c>
      <c r="H49" s="109" t="s">
        <v>359</v>
      </c>
    </row>
    <row r="50" spans="1:8" ht="18.75" customHeight="1" x14ac:dyDescent="0.2">
      <c r="A50" s="125"/>
      <c r="B50" s="111"/>
      <c r="C50" s="112" t="s">
        <v>360</v>
      </c>
      <c r="D50" s="113"/>
      <c r="E50" s="114"/>
      <c r="F50" s="115"/>
      <c r="G50" s="116"/>
      <c r="H50" s="117"/>
    </row>
    <row r="51" spans="1:8" ht="18.75" customHeight="1" x14ac:dyDescent="0.2">
      <c r="A51" s="125"/>
      <c r="B51" s="118"/>
      <c r="C51" s="118"/>
      <c r="D51" s="119">
        <f>D38</f>
        <v>2018</v>
      </c>
      <c r="E51" s="120" t="s">
        <v>361</v>
      </c>
      <c r="F51" s="131">
        <f>'MPS(input_PJ_Opt1)'!M36+'MPS(input_PJ_Opt1)'!R61</f>
        <v>11.062297586340001</v>
      </c>
      <c r="G51" s="108" t="s">
        <v>344</v>
      </c>
      <c r="H51" s="109" t="s">
        <v>362</v>
      </c>
    </row>
    <row r="52" spans="1:8" ht="18.75" customHeight="1" x14ac:dyDescent="0.2">
      <c r="A52" s="125"/>
      <c r="B52" s="118"/>
      <c r="C52" s="118"/>
      <c r="D52" s="119">
        <f t="shared" ref="D52:D62" si="4">D39</f>
        <v>2019</v>
      </c>
      <c r="E52" s="120" t="s">
        <v>361</v>
      </c>
      <c r="F52" s="131">
        <f>'MPS(input_PJ_Opt1)'!M37+'MPS(input_PJ_Opt1)'!R62</f>
        <v>14.052627485819999</v>
      </c>
      <c r="G52" s="108" t="s">
        <v>344</v>
      </c>
      <c r="H52" s="109" t="s">
        <v>362</v>
      </c>
    </row>
    <row r="53" spans="1:8" ht="18.75" customHeight="1" x14ac:dyDescent="0.2">
      <c r="A53" s="125"/>
      <c r="B53" s="118"/>
      <c r="C53" s="118"/>
      <c r="D53" s="119">
        <f t="shared" si="4"/>
        <v>2020</v>
      </c>
      <c r="E53" s="120" t="s">
        <v>361</v>
      </c>
      <c r="F53" s="131">
        <f>'MPS(input_PJ_Opt1)'!M38+'MPS(input_PJ_Opt1)'!R63</f>
        <v>16.723251696689999</v>
      </c>
      <c r="G53" s="108" t="s">
        <v>344</v>
      </c>
      <c r="H53" s="109" t="s">
        <v>362</v>
      </c>
    </row>
    <row r="54" spans="1:8" ht="18.75" customHeight="1" x14ac:dyDescent="0.2">
      <c r="A54" s="125"/>
      <c r="B54" s="118"/>
      <c r="C54" s="118"/>
      <c r="D54" s="119">
        <f t="shared" si="4"/>
        <v>2021</v>
      </c>
      <c r="E54" s="120" t="s">
        <v>361</v>
      </c>
      <c r="F54" s="131">
        <f>'MPS(input_PJ_Opt1)'!M39+'MPS(input_PJ_Opt1)'!R64</f>
        <v>16.723251696689999</v>
      </c>
      <c r="G54" s="108" t="s">
        <v>344</v>
      </c>
      <c r="H54" s="109" t="s">
        <v>362</v>
      </c>
    </row>
    <row r="55" spans="1:8" ht="18.75" customHeight="1" x14ac:dyDescent="0.2">
      <c r="A55" s="125"/>
      <c r="B55" s="118"/>
      <c r="C55" s="118"/>
      <c r="D55" s="119">
        <f t="shared" si="4"/>
        <v>2022</v>
      </c>
      <c r="E55" s="120" t="s">
        <v>361</v>
      </c>
      <c r="F55" s="131">
        <f>'MPS(input_PJ_Opt1)'!M40+'MPS(input_PJ_Opt1)'!R65</f>
        <v>16.723251696689999</v>
      </c>
      <c r="G55" s="108" t="s">
        <v>344</v>
      </c>
      <c r="H55" s="109" t="s">
        <v>362</v>
      </c>
    </row>
    <row r="56" spans="1:8" ht="18.75" customHeight="1" x14ac:dyDescent="0.2">
      <c r="A56" s="125"/>
      <c r="B56" s="118"/>
      <c r="C56" s="118"/>
      <c r="D56" s="119">
        <f t="shared" si="4"/>
        <v>2023</v>
      </c>
      <c r="E56" s="120" t="s">
        <v>361</v>
      </c>
      <c r="F56" s="131">
        <f>'MPS(input_PJ_Opt1)'!M41+'MPS(input_PJ_Opt1)'!R66</f>
        <v>16.723251696689999</v>
      </c>
      <c r="G56" s="108" t="s">
        <v>344</v>
      </c>
      <c r="H56" s="109" t="s">
        <v>362</v>
      </c>
    </row>
    <row r="57" spans="1:8" ht="18.75" customHeight="1" x14ac:dyDescent="0.2">
      <c r="A57" s="125"/>
      <c r="B57" s="118"/>
      <c r="C57" s="118"/>
      <c r="D57" s="119">
        <f t="shared" si="4"/>
        <v>2024</v>
      </c>
      <c r="E57" s="120" t="s">
        <v>361</v>
      </c>
      <c r="F57" s="131">
        <f>'MPS(input_PJ_Opt1)'!M42+'MPS(input_PJ_Opt1)'!R67</f>
        <v>16.723251696689999</v>
      </c>
      <c r="G57" s="108" t="s">
        <v>344</v>
      </c>
      <c r="H57" s="109" t="s">
        <v>362</v>
      </c>
    </row>
    <row r="58" spans="1:8" ht="18.75" customHeight="1" x14ac:dyDescent="0.2">
      <c r="A58" s="125"/>
      <c r="B58" s="118"/>
      <c r="C58" s="118"/>
      <c r="D58" s="119">
        <f t="shared" si="4"/>
        <v>2025</v>
      </c>
      <c r="E58" s="120" t="s">
        <v>361</v>
      </c>
      <c r="F58" s="131">
        <f>'MPS(input_PJ_Opt1)'!M43+'MPS(input_PJ_Opt1)'!R68</f>
        <v>16.723251696689999</v>
      </c>
      <c r="G58" s="108" t="s">
        <v>344</v>
      </c>
      <c r="H58" s="109" t="s">
        <v>362</v>
      </c>
    </row>
    <row r="59" spans="1:8" ht="18.75" customHeight="1" x14ac:dyDescent="0.2">
      <c r="A59" s="125"/>
      <c r="B59" s="118"/>
      <c r="C59" s="118"/>
      <c r="D59" s="119">
        <f t="shared" si="4"/>
        <v>2026</v>
      </c>
      <c r="E59" s="120" t="s">
        <v>361</v>
      </c>
      <c r="F59" s="131">
        <f>'MPS(input_PJ_Opt1)'!M44+'MPS(input_PJ_Opt1)'!R69</f>
        <v>16.723251696689999</v>
      </c>
      <c r="G59" s="108" t="s">
        <v>344</v>
      </c>
      <c r="H59" s="109" t="s">
        <v>362</v>
      </c>
    </row>
    <row r="60" spans="1:8" ht="18.75" customHeight="1" x14ac:dyDescent="0.2">
      <c r="A60" s="125"/>
      <c r="B60" s="118"/>
      <c r="C60" s="118"/>
      <c r="D60" s="119">
        <f t="shared" si="4"/>
        <v>2027</v>
      </c>
      <c r="E60" s="120" t="s">
        <v>361</v>
      </c>
      <c r="F60" s="131">
        <f>'MPS(input_PJ_Opt1)'!M45+'MPS(input_PJ_Opt1)'!R70</f>
        <v>16.723251696689999</v>
      </c>
      <c r="G60" s="108" t="s">
        <v>344</v>
      </c>
      <c r="H60" s="109" t="s">
        <v>362</v>
      </c>
    </row>
    <row r="61" spans="1:8" ht="18.75" customHeight="1" x14ac:dyDescent="0.2">
      <c r="A61" s="125"/>
      <c r="B61" s="118"/>
      <c r="C61" s="118"/>
      <c r="D61" s="119">
        <f t="shared" si="4"/>
        <v>2028</v>
      </c>
      <c r="E61" s="120" t="s">
        <v>361</v>
      </c>
      <c r="F61" s="131">
        <f>'MPS(input_PJ_Opt1)'!M46+'MPS(input_PJ_Opt1)'!R71</f>
        <v>16.723251696689999</v>
      </c>
      <c r="G61" s="108" t="s">
        <v>344</v>
      </c>
      <c r="H61" s="109" t="s">
        <v>362</v>
      </c>
    </row>
    <row r="62" spans="1:8" ht="18.75" customHeight="1" x14ac:dyDescent="0.2">
      <c r="A62" s="125"/>
      <c r="B62" s="118"/>
      <c r="C62" s="118"/>
      <c r="D62" s="119">
        <f t="shared" si="4"/>
        <v>2029</v>
      </c>
      <c r="E62" s="120" t="s">
        <v>361</v>
      </c>
      <c r="F62" s="131">
        <f>'MPS(input_PJ_Opt1)'!M47+'MPS(input_PJ_Opt1)'!R72</f>
        <v>16.723251696689999</v>
      </c>
      <c r="G62" s="108" t="s">
        <v>344</v>
      </c>
      <c r="H62" s="109" t="s">
        <v>362</v>
      </c>
    </row>
    <row r="63" spans="1:8" ht="18.75" customHeight="1" x14ac:dyDescent="0.2">
      <c r="A63" s="125"/>
      <c r="B63" s="111"/>
      <c r="C63" s="112" t="s">
        <v>363</v>
      </c>
      <c r="D63" s="113"/>
      <c r="E63" s="114"/>
      <c r="F63" s="115"/>
      <c r="G63" s="116"/>
      <c r="H63" s="117"/>
    </row>
    <row r="64" spans="1:8" ht="18.649999999999999" customHeight="1" x14ac:dyDescent="0.2">
      <c r="A64" s="125"/>
      <c r="B64" s="126"/>
      <c r="C64" s="126"/>
      <c r="D64" s="127">
        <f>D51</f>
        <v>2018</v>
      </c>
      <c r="E64" s="128" t="s">
        <v>364</v>
      </c>
      <c r="F64" s="132">
        <f>'MPS(input_PJ_Opt1)'!AF89</f>
        <v>0</v>
      </c>
      <c r="G64" s="133" t="s">
        <v>353</v>
      </c>
      <c r="H64" s="130" t="s">
        <v>365</v>
      </c>
    </row>
    <row r="65" spans="1:8" ht="18.649999999999999" customHeight="1" x14ac:dyDescent="0.2">
      <c r="A65" s="125"/>
      <c r="B65" s="126"/>
      <c r="C65" s="126"/>
      <c r="D65" s="127">
        <f t="shared" ref="D65:D75" si="5">D52</f>
        <v>2019</v>
      </c>
      <c r="E65" s="128" t="s">
        <v>364</v>
      </c>
      <c r="F65" s="132">
        <f>'MPS(input_PJ_Opt1)'!AF90</f>
        <v>0</v>
      </c>
      <c r="G65" s="133" t="s">
        <v>353</v>
      </c>
      <c r="H65" s="130" t="s">
        <v>365</v>
      </c>
    </row>
    <row r="66" spans="1:8" ht="18.649999999999999" customHeight="1" x14ac:dyDescent="0.2">
      <c r="A66" s="125"/>
      <c r="B66" s="126"/>
      <c r="C66" s="126"/>
      <c r="D66" s="127">
        <f t="shared" si="5"/>
        <v>2020</v>
      </c>
      <c r="E66" s="128" t="s">
        <v>364</v>
      </c>
      <c r="F66" s="132">
        <f>'MPS(input_PJ_Opt1)'!AF91</f>
        <v>0.53382263170737598</v>
      </c>
      <c r="G66" s="133" t="s">
        <v>353</v>
      </c>
      <c r="H66" s="130" t="s">
        <v>365</v>
      </c>
    </row>
    <row r="67" spans="1:8" ht="18.649999999999999" customHeight="1" x14ac:dyDescent="0.2">
      <c r="A67" s="125"/>
      <c r="B67" s="126"/>
      <c r="C67" s="126"/>
      <c r="D67" s="127">
        <f t="shared" si="5"/>
        <v>2021</v>
      </c>
      <c r="E67" s="128" t="s">
        <v>364</v>
      </c>
      <c r="F67" s="132">
        <f>'MPS(input_PJ_Opt1)'!AF92</f>
        <v>21.937916371535998</v>
      </c>
      <c r="G67" s="133" t="s">
        <v>353</v>
      </c>
      <c r="H67" s="130" t="s">
        <v>365</v>
      </c>
    </row>
    <row r="68" spans="1:8" ht="18.649999999999999" customHeight="1" x14ac:dyDescent="0.2">
      <c r="A68" s="125"/>
      <c r="B68" s="126"/>
      <c r="C68" s="126"/>
      <c r="D68" s="127">
        <f t="shared" si="5"/>
        <v>2022</v>
      </c>
      <c r="E68" s="128" t="s">
        <v>364</v>
      </c>
      <c r="F68" s="132">
        <f>'MPS(input_PJ_Opt1)'!AF93</f>
        <v>21.937916371535998</v>
      </c>
      <c r="G68" s="133" t="s">
        <v>353</v>
      </c>
      <c r="H68" s="130" t="s">
        <v>365</v>
      </c>
    </row>
    <row r="69" spans="1:8" ht="18.649999999999999" customHeight="1" x14ac:dyDescent="0.2">
      <c r="A69" s="125"/>
      <c r="B69" s="126"/>
      <c r="C69" s="126"/>
      <c r="D69" s="127">
        <f t="shared" si="5"/>
        <v>2023</v>
      </c>
      <c r="E69" s="128" t="s">
        <v>364</v>
      </c>
      <c r="F69" s="132">
        <f>'MPS(input_PJ_Opt1)'!AF94</f>
        <v>43.875832743071996</v>
      </c>
      <c r="G69" s="133" t="s">
        <v>353</v>
      </c>
      <c r="H69" s="130" t="s">
        <v>365</v>
      </c>
    </row>
    <row r="70" spans="1:8" ht="18.649999999999999" customHeight="1" x14ac:dyDescent="0.2">
      <c r="A70" s="125"/>
      <c r="B70" s="126"/>
      <c r="C70" s="126"/>
      <c r="D70" s="127">
        <f t="shared" si="5"/>
        <v>2024</v>
      </c>
      <c r="E70" s="128" t="s">
        <v>364</v>
      </c>
      <c r="F70" s="132">
        <f>'MPS(input_PJ_Opt1)'!AF95</f>
        <v>43.875832743071996</v>
      </c>
      <c r="G70" s="133" t="s">
        <v>353</v>
      </c>
      <c r="H70" s="130" t="s">
        <v>365</v>
      </c>
    </row>
    <row r="71" spans="1:8" ht="18.649999999999999" customHeight="1" x14ac:dyDescent="0.2">
      <c r="A71" s="125"/>
      <c r="B71" s="126"/>
      <c r="C71" s="126"/>
      <c r="D71" s="127">
        <f t="shared" si="5"/>
        <v>2025</v>
      </c>
      <c r="E71" s="128" t="s">
        <v>364</v>
      </c>
      <c r="F71" s="132">
        <f>'MPS(input_PJ_Opt1)'!AF96</f>
        <v>65.813749114607987</v>
      </c>
      <c r="G71" s="133" t="s">
        <v>353</v>
      </c>
      <c r="H71" s="130" t="s">
        <v>365</v>
      </c>
    </row>
    <row r="72" spans="1:8" ht="18.649999999999999" customHeight="1" x14ac:dyDescent="0.2">
      <c r="A72" s="125"/>
      <c r="B72" s="126"/>
      <c r="C72" s="126"/>
      <c r="D72" s="127">
        <f t="shared" si="5"/>
        <v>2026</v>
      </c>
      <c r="E72" s="128" t="s">
        <v>364</v>
      </c>
      <c r="F72" s="132">
        <f>'MPS(input_PJ_Opt1)'!AF97</f>
        <v>65.813749114607987</v>
      </c>
      <c r="G72" s="133" t="s">
        <v>353</v>
      </c>
      <c r="H72" s="130" t="s">
        <v>365</v>
      </c>
    </row>
    <row r="73" spans="1:8" ht="18.649999999999999" customHeight="1" x14ac:dyDescent="0.2">
      <c r="A73" s="125"/>
      <c r="B73" s="126"/>
      <c r="C73" s="126"/>
      <c r="D73" s="127">
        <f t="shared" si="5"/>
        <v>2027</v>
      </c>
      <c r="E73" s="128" t="s">
        <v>364</v>
      </c>
      <c r="F73" s="132">
        <f>'MPS(input_PJ_Opt1)'!AF98</f>
        <v>65.813749114607987</v>
      </c>
      <c r="G73" s="133" t="s">
        <v>353</v>
      </c>
      <c r="H73" s="130" t="s">
        <v>365</v>
      </c>
    </row>
    <row r="74" spans="1:8" ht="18.649999999999999" customHeight="1" x14ac:dyDescent="0.2">
      <c r="A74" s="125"/>
      <c r="B74" s="126"/>
      <c r="C74" s="126"/>
      <c r="D74" s="127">
        <f t="shared" si="5"/>
        <v>2028</v>
      </c>
      <c r="E74" s="128" t="s">
        <v>364</v>
      </c>
      <c r="F74" s="132">
        <f>'MPS(input_PJ_Opt1)'!AF99</f>
        <v>65.813749114607987</v>
      </c>
      <c r="G74" s="133" t="s">
        <v>353</v>
      </c>
      <c r="H74" s="130" t="s">
        <v>365</v>
      </c>
    </row>
    <row r="75" spans="1:8" ht="18.75" customHeight="1" x14ac:dyDescent="0.2">
      <c r="A75" s="125"/>
      <c r="B75" s="126"/>
      <c r="C75" s="126"/>
      <c r="D75" s="127">
        <f t="shared" si="5"/>
        <v>2029</v>
      </c>
      <c r="E75" s="128" t="s">
        <v>364</v>
      </c>
      <c r="F75" s="132">
        <f>'MPS(input_PJ_Opt1)'!AF100</f>
        <v>65.813749114607987</v>
      </c>
      <c r="G75" s="133" t="s">
        <v>353</v>
      </c>
      <c r="H75" s="130" t="s">
        <v>365</v>
      </c>
    </row>
    <row r="76" spans="1:8" ht="18.75" customHeight="1" x14ac:dyDescent="0.2">
      <c r="A76" s="125"/>
      <c r="B76" s="134"/>
      <c r="C76" s="112" t="s">
        <v>366</v>
      </c>
      <c r="D76" s="135"/>
      <c r="E76" s="136"/>
      <c r="F76" s="137"/>
      <c r="G76" s="138"/>
      <c r="H76" s="139"/>
    </row>
    <row r="77" spans="1:8" ht="18.75" customHeight="1" x14ac:dyDescent="0.2">
      <c r="A77" s="125"/>
      <c r="B77" s="126"/>
      <c r="C77" s="126"/>
      <c r="D77" s="127">
        <f>D64</f>
        <v>2018</v>
      </c>
      <c r="E77" s="128" t="s">
        <v>352</v>
      </c>
      <c r="F77" s="129">
        <f>'MPS(input_PJ_Opt1)'!AZ110</f>
        <v>56919.839981764904</v>
      </c>
      <c r="G77" s="133" t="s">
        <v>353</v>
      </c>
      <c r="H77" s="130" t="s">
        <v>367</v>
      </c>
    </row>
    <row r="78" spans="1:8" ht="18.75" customHeight="1" x14ac:dyDescent="0.2">
      <c r="A78" s="125"/>
      <c r="B78" s="126"/>
      <c r="C78" s="126"/>
      <c r="D78" s="127">
        <f t="shared" ref="D78:D88" si="6">D65</f>
        <v>2019</v>
      </c>
      <c r="E78" s="128" t="s">
        <v>352</v>
      </c>
      <c r="F78" s="129">
        <f>'MPS(input_PJ_Opt1)'!AZ111</f>
        <v>306867.17705820268</v>
      </c>
      <c r="G78" s="133" t="s">
        <v>353</v>
      </c>
      <c r="H78" s="130" t="s">
        <v>367</v>
      </c>
    </row>
    <row r="79" spans="1:8" ht="18.75" customHeight="1" x14ac:dyDescent="0.2">
      <c r="A79" s="125"/>
      <c r="B79" s="126"/>
      <c r="C79" s="126"/>
      <c r="D79" s="127">
        <f t="shared" si="6"/>
        <v>2020</v>
      </c>
      <c r="E79" s="128" t="s">
        <v>352</v>
      </c>
      <c r="F79" s="129">
        <f>'MPS(input_PJ_Opt1)'!AZ112</f>
        <v>265298.16121735866</v>
      </c>
      <c r="G79" s="133" t="s">
        <v>353</v>
      </c>
      <c r="H79" s="130" t="s">
        <v>367</v>
      </c>
    </row>
    <row r="80" spans="1:8" ht="18.75" customHeight="1" x14ac:dyDescent="0.2">
      <c r="A80" s="125"/>
      <c r="B80" s="126"/>
      <c r="C80" s="126"/>
      <c r="D80" s="127">
        <f t="shared" si="6"/>
        <v>2021</v>
      </c>
      <c r="E80" s="128" t="s">
        <v>352</v>
      </c>
      <c r="F80" s="129">
        <f>'MPS(input_PJ_Opt1)'!AZ113</f>
        <v>228207.10192533786</v>
      </c>
      <c r="G80" s="133" t="s">
        <v>353</v>
      </c>
      <c r="H80" s="130" t="s">
        <v>367</v>
      </c>
    </row>
    <row r="81" spans="1:8" ht="18.75" customHeight="1" x14ac:dyDescent="0.2">
      <c r="A81" s="125"/>
      <c r="B81" s="126"/>
      <c r="C81" s="126"/>
      <c r="D81" s="127">
        <f t="shared" si="6"/>
        <v>2022</v>
      </c>
      <c r="E81" s="128" t="s">
        <v>352</v>
      </c>
      <c r="F81" s="129">
        <f>'MPS(input_PJ_Opt1)'!AZ114</f>
        <v>195136.48588822992</v>
      </c>
      <c r="G81" s="133" t="s">
        <v>353</v>
      </c>
      <c r="H81" s="130" t="s">
        <v>367</v>
      </c>
    </row>
    <row r="82" spans="1:8" ht="18.75" customHeight="1" x14ac:dyDescent="0.2">
      <c r="A82" s="125"/>
      <c r="B82" s="126"/>
      <c r="C82" s="126"/>
      <c r="D82" s="127">
        <f t="shared" si="6"/>
        <v>2023</v>
      </c>
      <c r="E82" s="128" t="s">
        <v>352</v>
      </c>
      <c r="F82" s="129">
        <f>'MPS(input_PJ_Opt1)'!AZ115</f>
        <v>165674.85974383412</v>
      </c>
      <c r="G82" s="133" t="s">
        <v>353</v>
      </c>
      <c r="H82" s="130" t="s">
        <v>367</v>
      </c>
    </row>
    <row r="83" spans="1:8" ht="18.75" customHeight="1" x14ac:dyDescent="0.2">
      <c r="A83" s="125"/>
      <c r="B83" s="126"/>
      <c r="C83" s="126"/>
      <c r="D83" s="127">
        <f t="shared" si="6"/>
        <v>2024</v>
      </c>
      <c r="E83" s="128" t="s">
        <v>352</v>
      </c>
      <c r="F83" s="129">
        <f>'MPS(input_PJ_Opt1)'!AZ116</f>
        <v>139452.21315231765</v>
      </c>
      <c r="G83" s="133" t="s">
        <v>353</v>
      </c>
      <c r="H83" s="130" t="s">
        <v>367</v>
      </c>
    </row>
    <row r="84" spans="1:8" ht="18.75" customHeight="1" x14ac:dyDescent="0.2">
      <c r="A84" s="125"/>
      <c r="B84" s="126"/>
      <c r="C84" s="126"/>
      <c r="D84" s="127">
        <f t="shared" si="6"/>
        <v>2025</v>
      </c>
      <c r="E84" s="128" t="s">
        <v>352</v>
      </c>
      <c r="F84" s="129">
        <f>'MPS(input_PJ_Opt1)'!AZ117</f>
        <v>88404.672498020227</v>
      </c>
      <c r="G84" s="133" t="s">
        <v>353</v>
      </c>
      <c r="H84" s="130" t="s">
        <v>367</v>
      </c>
    </row>
    <row r="85" spans="1:8" ht="18.75" customHeight="1" x14ac:dyDescent="0.2">
      <c r="A85" s="125"/>
      <c r="B85" s="126"/>
      <c r="C85" s="126"/>
      <c r="D85" s="127">
        <f t="shared" si="6"/>
        <v>2026</v>
      </c>
      <c r="E85" s="128" t="s">
        <v>352</v>
      </c>
      <c r="F85" s="129">
        <f>'MPS(input_PJ_Opt1)'!AZ118</f>
        <v>48283.562229959003</v>
      </c>
      <c r="G85" s="133" t="s">
        <v>353</v>
      </c>
      <c r="H85" s="130" t="s">
        <v>367</v>
      </c>
    </row>
    <row r="86" spans="1:8" ht="18.75" customHeight="1" x14ac:dyDescent="0.2">
      <c r="A86" s="125"/>
      <c r="B86" s="126"/>
      <c r="C86" s="126"/>
      <c r="D86" s="127">
        <f t="shared" si="6"/>
        <v>2027</v>
      </c>
      <c r="E86" s="128" t="s">
        <v>352</v>
      </c>
      <c r="F86" s="129">
        <f>'MPS(input_PJ_Opt1)'!AZ119</f>
        <v>16878.714128331791</v>
      </c>
      <c r="G86" s="133" t="s">
        <v>353</v>
      </c>
      <c r="H86" s="130" t="s">
        <v>367</v>
      </c>
    </row>
    <row r="87" spans="1:8" ht="18.75" customHeight="1" x14ac:dyDescent="0.2">
      <c r="A87" s="125"/>
      <c r="B87" s="126"/>
      <c r="C87" s="126"/>
      <c r="D87" s="127">
        <f t="shared" si="6"/>
        <v>2028</v>
      </c>
      <c r="E87" s="128" t="s">
        <v>352</v>
      </c>
      <c r="F87" s="129">
        <f>'MPS(input_PJ_Opt1)'!AZ120</f>
        <v>0</v>
      </c>
      <c r="G87" s="133" t="s">
        <v>353</v>
      </c>
      <c r="H87" s="130" t="s">
        <v>367</v>
      </c>
    </row>
    <row r="88" spans="1:8" ht="18.75" customHeight="1" x14ac:dyDescent="0.2">
      <c r="A88" s="125"/>
      <c r="B88" s="126"/>
      <c r="C88" s="126"/>
      <c r="D88" s="127">
        <f t="shared" si="6"/>
        <v>2029</v>
      </c>
      <c r="E88" s="128" t="s">
        <v>352</v>
      </c>
      <c r="F88" s="129">
        <f>'MPS(input_PJ_Opt1)'!AZ121</f>
        <v>0</v>
      </c>
      <c r="G88" s="133" t="s">
        <v>353</v>
      </c>
      <c r="H88" s="130" t="s">
        <v>367</v>
      </c>
    </row>
    <row r="89" spans="1:8" ht="18.75" customHeight="1" thickBot="1" x14ac:dyDescent="0.25">
      <c r="A89" s="98" t="s">
        <v>368</v>
      </c>
      <c r="B89" s="99"/>
      <c r="C89" s="99"/>
      <c r="D89" s="98"/>
      <c r="E89" s="101"/>
      <c r="F89" s="98"/>
      <c r="G89" s="100"/>
      <c r="H89" s="103"/>
    </row>
    <row r="90" spans="1:8" ht="18.75" customHeight="1" thickBot="1" x14ac:dyDescent="0.25">
      <c r="A90" s="140"/>
      <c r="B90" s="141" t="s">
        <v>369</v>
      </c>
      <c r="C90" s="141"/>
      <c r="D90" s="142"/>
      <c r="E90" s="143"/>
      <c r="F90" s="144">
        <v>20</v>
      </c>
      <c r="G90" s="133" t="s">
        <v>370</v>
      </c>
      <c r="H90" s="130" t="s">
        <v>371</v>
      </c>
    </row>
    <row r="91" spans="1:8" x14ac:dyDescent="0.2">
      <c r="D91" s="145"/>
      <c r="E91" s="146"/>
      <c r="F91" s="16"/>
      <c r="G91" s="16"/>
    </row>
    <row r="92" spans="1:8" x14ac:dyDescent="0.2">
      <c r="E92" s="146"/>
      <c r="F92" s="16"/>
      <c r="G92" s="16"/>
    </row>
    <row r="93" spans="1:8" ht="21.75" customHeight="1" x14ac:dyDescent="0.2">
      <c r="C93" s="10" t="s">
        <v>372</v>
      </c>
    </row>
    <row r="94" spans="1:8" ht="32.5" x14ac:dyDescent="0.2">
      <c r="C94" s="147"/>
      <c r="D94" s="148" t="s">
        <v>373</v>
      </c>
      <c r="E94" s="149">
        <v>0.01</v>
      </c>
      <c r="F94" s="150" t="s">
        <v>374</v>
      </c>
      <c r="G94" s="151" t="s">
        <v>375</v>
      </c>
    </row>
    <row r="95" spans="1:8" ht="32.5" x14ac:dyDescent="0.2">
      <c r="C95" s="152"/>
      <c r="D95" s="148" t="s">
        <v>376</v>
      </c>
      <c r="E95" s="153">
        <v>3.0000000000000001E-3</v>
      </c>
      <c r="F95" s="150" t="s">
        <v>374</v>
      </c>
      <c r="G95" s="151" t="s">
        <v>377</v>
      </c>
    </row>
    <row r="96" spans="1:8" ht="30" x14ac:dyDescent="0.2">
      <c r="C96" s="154"/>
      <c r="D96" s="148" t="s">
        <v>378</v>
      </c>
      <c r="E96" s="149">
        <v>0.1</v>
      </c>
      <c r="F96" s="150" t="s">
        <v>111</v>
      </c>
      <c r="G96" s="151" t="s">
        <v>379</v>
      </c>
    </row>
    <row r="97" spans="3:12" ht="30" x14ac:dyDescent="0.2">
      <c r="C97" s="154"/>
      <c r="D97" s="148" t="s">
        <v>380</v>
      </c>
      <c r="E97" s="149">
        <v>0.2</v>
      </c>
      <c r="F97" s="150" t="s">
        <v>111</v>
      </c>
      <c r="G97" s="151" t="s">
        <v>381</v>
      </c>
    </row>
    <row r="98" spans="3:12" ht="48.5" x14ac:dyDescent="0.2">
      <c r="C98" s="154"/>
      <c r="D98" s="148" t="s">
        <v>382</v>
      </c>
      <c r="E98" s="153">
        <v>0.01</v>
      </c>
      <c r="F98" s="150" t="s">
        <v>383</v>
      </c>
      <c r="G98" s="151" t="s">
        <v>384</v>
      </c>
    </row>
    <row r="99" spans="3:12" ht="16" x14ac:dyDescent="0.2">
      <c r="C99" s="154"/>
      <c r="D99" s="148" t="s">
        <v>385</v>
      </c>
      <c r="E99" s="149">
        <v>0.3</v>
      </c>
      <c r="F99" s="150" t="s">
        <v>111</v>
      </c>
      <c r="G99" s="151" t="s">
        <v>386</v>
      </c>
    </row>
    <row r="100" spans="3:12" ht="46.5" x14ac:dyDescent="0.2">
      <c r="C100" s="154"/>
      <c r="D100" s="148" t="s">
        <v>387</v>
      </c>
      <c r="E100" s="155">
        <v>7.4999999999999997E-3</v>
      </c>
      <c r="F100" s="150" t="s">
        <v>388</v>
      </c>
      <c r="G100" s="151" t="s">
        <v>389</v>
      </c>
    </row>
    <row r="101" spans="3:12" ht="16.5" x14ac:dyDescent="0.2">
      <c r="C101" s="154"/>
      <c r="D101" s="148" t="s">
        <v>390</v>
      </c>
      <c r="E101" s="149">
        <v>0.12</v>
      </c>
      <c r="F101" s="150" t="s">
        <v>391</v>
      </c>
      <c r="G101" s="151" t="s">
        <v>392</v>
      </c>
    </row>
    <row r="102" spans="3:12" ht="16.5" x14ac:dyDescent="0.2">
      <c r="C102" s="154"/>
      <c r="D102" s="148" t="s">
        <v>393</v>
      </c>
      <c r="E102" s="149">
        <v>0.13</v>
      </c>
      <c r="F102" s="150" t="s">
        <v>394</v>
      </c>
      <c r="G102" s="151" t="s">
        <v>395</v>
      </c>
    </row>
    <row r="103" spans="3:12" s="156" customFormat="1" ht="16.5" x14ac:dyDescent="0.2">
      <c r="C103" s="154"/>
      <c r="D103" s="148" t="s">
        <v>396</v>
      </c>
      <c r="E103" s="149">
        <v>0.2</v>
      </c>
      <c r="F103" s="150" t="s">
        <v>397</v>
      </c>
      <c r="G103" s="151" t="s">
        <v>398</v>
      </c>
      <c r="H103" s="97"/>
    </row>
    <row r="104" spans="3:12" s="156" customFormat="1" ht="17.5" x14ac:dyDescent="0.2">
      <c r="C104" s="157"/>
      <c r="D104" s="148" t="s">
        <v>399</v>
      </c>
      <c r="E104" s="158">
        <v>298</v>
      </c>
      <c r="F104" s="150" t="s">
        <v>400</v>
      </c>
      <c r="G104" s="151" t="s">
        <v>401</v>
      </c>
      <c r="H104" s="97"/>
    </row>
    <row r="105" spans="3:12" ht="16.5" x14ac:dyDescent="0.2">
      <c r="C105" s="157"/>
      <c r="D105" s="148" t="s">
        <v>402</v>
      </c>
      <c r="E105" s="153">
        <v>4.2999999999999997E-2</v>
      </c>
      <c r="F105" s="150" t="s">
        <v>211</v>
      </c>
      <c r="G105" s="151" t="s">
        <v>209</v>
      </c>
      <c r="I105" s="97"/>
      <c r="J105" s="97"/>
      <c r="K105" s="97"/>
      <c r="L105" s="97"/>
    </row>
    <row r="106" spans="3:12" ht="16.5" x14ac:dyDescent="0.2">
      <c r="C106" s="157"/>
      <c r="D106" s="148" t="s">
        <v>403</v>
      </c>
      <c r="E106" s="155">
        <v>4.4299999999999999E-2</v>
      </c>
      <c r="F106" s="150" t="s">
        <v>211</v>
      </c>
      <c r="G106" s="151" t="s">
        <v>209</v>
      </c>
    </row>
    <row r="107" spans="3:12" ht="16.5" x14ac:dyDescent="0.2">
      <c r="C107" s="157"/>
      <c r="D107" s="148" t="s">
        <v>404</v>
      </c>
      <c r="E107" s="155">
        <v>4.2299999999999997E-2</v>
      </c>
      <c r="F107" s="150" t="s">
        <v>211</v>
      </c>
      <c r="G107" s="151" t="s">
        <v>209</v>
      </c>
    </row>
    <row r="108" spans="3:12" ht="17.5" x14ac:dyDescent="0.2">
      <c r="C108" s="157"/>
      <c r="D108" s="148" t="s">
        <v>405</v>
      </c>
      <c r="E108" s="155">
        <v>7.4099999999999999E-2</v>
      </c>
      <c r="F108" s="150" t="s">
        <v>215</v>
      </c>
      <c r="G108" s="151" t="s">
        <v>213</v>
      </c>
      <c r="I108" s="97"/>
      <c r="J108" s="97"/>
      <c r="K108" s="97"/>
      <c r="L108" s="97"/>
    </row>
    <row r="109" spans="3:12" ht="17.5" x14ac:dyDescent="0.2">
      <c r="C109" s="157"/>
      <c r="D109" s="148" t="s">
        <v>406</v>
      </c>
      <c r="E109" s="155">
        <v>6.93E-2</v>
      </c>
      <c r="F109" s="150" t="s">
        <v>215</v>
      </c>
      <c r="G109" s="151" t="s">
        <v>213</v>
      </c>
    </row>
    <row r="110" spans="3:12" ht="17.5" x14ac:dyDescent="0.2">
      <c r="C110" s="154"/>
      <c r="D110" s="148" t="s">
        <v>407</v>
      </c>
      <c r="E110" s="155">
        <v>7.3300000000000004E-2</v>
      </c>
      <c r="F110" s="150" t="s">
        <v>215</v>
      </c>
      <c r="G110" s="151" t="s">
        <v>213</v>
      </c>
    </row>
  </sheetData>
  <sheetProtection algorithmName="SHA-512" hashValue="1i1IJ3tNkcA/YPbEwhdrxVGfMBl7WPVp80yyp8b0knYM3layFBoisQANDljHV38WvONwFq5qJSnfQva3wG6v3A==" saltValue="A0sTeeayhNaZ3kGT4sMp5w==" spinCount="100000" sheet="1" objects="1" scenarios="1"/>
  <phoneticPr fontId="9"/>
  <dataValidations disablePrompts="1" count="1">
    <dataValidation type="list" allowBlank="1" showInputMessage="1" showErrorMessage="1" sqref="E64:E75 E51:E62 E77:E88" xr:uid="{4F4D904F-88FA-49F5-9158-AAE12EE11390}">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rowBreaks count="2" manualBreakCount="2">
    <brk id="34" max="7" man="1"/>
    <brk id="9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3C9A-3E7A-47FE-88B8-B0494959391B}">
  <sheetPr>
    <tabColor theme="3" tint="0.39997558519241921"/>
  </sheetPr>
  <dimension ref="A1:D73"/>
  <sheetViews>
    <sheetView showGridLines="0" view="pageBreakPreview" zoomScale="70" zoomScaleNormal="80" zoomScaleSheetLayoutView="70" workbookViewId="0"/>
  </sheetViews>
  <sheetFormatPr defaultRowHeight="14" x14ac:dyDescent="0.2"/>
  <cols>
    <col min="1" max="1" width="3.6328125" style="171" customWidth="1"/>
    <col min="2" max="2" width="28.453125" style="171" customWidth="1"/>
    <col min="3" max="3" width="36.36328125" style="171" customWidth="1"/>
    <col min="4" max="4" width="35.81640625" style="171" customWidth="1"/>
    <col min="5" max="257" width="8.81640625" style="171"/>
    <col min="258" max="258" width="3.6328125" style="171" customWidth="1"/>
    <col min="259" max="259" width="36.36328125" style="171" customWidth="1"/>
    <col min="260" max="260" width="49.08984375" style="171" customWidth="1"/>
    <col min="261" max="513" width="8.81640625" style="171"/>
    <col min="514" max="514" width="3.6328125" style="171" customWidth="1"/>
    <col min="515" max="515" width="36.36328125" style="171" customWidth="1"/>
    <col min="516" max="516" width="49.08984375" style="171" customWidth="1"/>
    <col min="517" max="769" width="8.81640625" style="171"/>
    <col min="770" max="770" width="3.6328125" style="171" customWidth="1"/>
    <col min="771" max="771" width="36.36328125" style="171" customWidth="1"/>
    <col min="772" max="772" width="49.08984375" style="171" customWidth="1"/>
    <col min="773" max="1025" width="8.81640625" style="171"/>
    <col min="1026" max="1026" width="3.6328125" style="171" customWidth="1"/>
    <col min="1027" max="1027" width="36.36328125" style="171" customWidth="1"/>
    <col min="1028" max="1028" width="49.08984375" style="171" customWidth="1"/>
    <col min="1029" max="1281" width="8.81640625" style="171"/>
    <col min="1282" max="1282" width="3.6328125" style="171" customWidth="1"/>
    <col min="1283" max="1283" width="36.36328125" style="171" customWidth="1"/>
    <col min="1284" max="1284" width="49.08984375" style="171" customWidth="1"/>
    <col min="1285" max="1537" width="8.81640625" style="171"/>
    <col min="1538" max="1538" width="3.6328125" style="171" customWidth="1"/>
    <col min="1539" max="1539" width="36.36328125" style="171" customWidth="1"/>
    <col min="1540" max="1540" width="49.08984375" style="171" customWidth="1"/>
    <col min="1541" max="1793" width="8.81640625" style="171"/>
    <col min="1794" max="1794" width="3.6328125" style="171" customWidth="1"/>
    <col min="1795" max="1795" width="36.36328125" style="171" customWidth="1"/>
    <col min="1796" max="1796" width="49.08984375" style="171" customWidth="1"/>
    <col min="1797" max="2049" width="8.81640625" style="171"/>
    <col min="2050" max="2050" width="3.6328125" style="171" customWidth="1"/>
    <col min="2051" max="2051" width="36.36328125" style="171" customWidth="1"/>
    <col min="2052" max="2052" width="49.08984375" style="171" customWidth="1"/>
    <col min="2053" max="2305" width="8.81640625" style="171"/>
    <col min="2306" max="2306" width="3.6328125" style="171" customWidth="1"/>
    <col min="2307" max="2307" width="36.36328125" style="171" customWidth="1"/>
    <col min="2308" max="2308" width="49.08984375" style="171" customWidth="1"/>
    <col min="2309" max="2561" width="8.81640625" style="171"/>
    <col min="2562" max="2562" width="3.6328125" style="171" customWidth="1"/>
    <col min="2563" max="2563" width="36.36328125" style="171" customWidth="1"/>
    <col min="2564" max="2564" width="49.08984375" style="171" customWidth="1"/>
    <col min="2565" max="2817" width="8.81640625" style="171"/>
    <col min="2818" max="2818" width="3.6328125" style="171" customWidth="1"/>
    <col min="2819" max="2819" width="36.36328125" style="171" customWidth="1"/>
    <col min="2820" max="2820" width="49.08984375" style="171" customWidth="1"/>
    <col min="2821" max="3073" width="8.81640625" style="171"/>
    <col min="3074" max="3074" width="3.6328125" style="171" customWidth="1"/>
    <col min="3075" max="3075" width="36.36328125" style="171" customWidth="1"/>
    <col min="3076" max="3076" width="49.08984375" style="171" customWidth="1"/>
    <col min="3077" max="3329" width="8.81640625" style="171"/>
    <col min="3330" max="3330" width="3.6328125" style="171" customWidth="1"/>
    <col min="3331" max="3331" width="36.36328125" style="171" customWidth="1"/>
    <col min="3332" max="3332" width="49.08984375" style="171" customWidth="1"/>
    <col min="3333" max="3585" width="8.81640625" style="171"/>
    <col min="3586" max="3586" width="3.6328125" style="171" customWidth="1"/>
    <col min="3587" max="3587" width="36.36328125" style="171" customWidth="1"/>
    <col min="3588" max="3588" width="49.08984375" style="171" customWidth="1"/>
    <col min="3589" max="3841" width="8.81640625" style="171"/>
    <col min="3842" max="3842" width="3.6328125" style="171" customWidth="1"/>
    <col min="3843" max="3843" width="36.36328125" style="171" customWidth="1"/>
    <col min="3844" max="3844" width="49.08984375" style="171" customWidth="1"/>
    <col min="3845" max="4097" width="8.81640625" style="171"/>
    <col min="4098" max="4098" width="3.6328125" style="171" customWidth="1"/>
    <col min="4099" max="4099" width="36.36328125" style="171" customWidth="1"/>
    <col min="4100" max="4100" width="49.08984375" style="171" customWidth="1"/>
    <col min="4101" max="4353" width="8.81640625" style="171"/>
    <col min="4354" max="4354" width="3.6328125" style="171" customWidth="1"/>
    <col min="4355" max="4355" width="36.36328125" style="171" customWidth="1"/>
    <col min="4356" max="4356" width="49.08984375" style="171" customWidth="1"/>
    <col min="4357" max="4609" width="8.81640625" style="171"/>
    <col min="4610" max="4610" width="3.6328125" style="171" customWidth="1"/>
    <col min="4611" max="4611" width="36.36328125" style="171" customWidth="1"/>
    <col min="4612" max="4612" width="49.08984375" style="171" customWidth="1"/>
    <col min="4613" max="4865" width="8.81640625" style="171"/>
    <col min="4866" max="4866" width="3.6328125" style="171" customWidth="1"/>
    <col min="4867" max="4867" width="36.36328125" style="171" customWidth="1"/>
    <col min="4868" max="4868" width="49.08984375" style="171" customWidth="1"/>
    <col min="4869" max="5121" width="8.81640625" style="171"/>
    <col min="5122" max="5122" width="3.6328125" style="171" customWidth="1"/>
    <col min="5123" max="5123" width="36.36328125" style="171" customWidth="1"/>
    <col min="5124" max="5124" width="49.08984375" style="171" customWidth="1"/>
    <col min="5125" max="5377" width="8.81640625" style="171"/>
    <col min="5378" max="5378" width="3.6328125" style="171" customWidth="1"/>
    <col min="5379" max="5379" width="36.36328125" style="171" customWidth="1"/>
    <col min="5380" max="5380" width="49.08984375" style="171" customWidth="1"/>
    <col min="5381" max="5633" width="8.81640625" style="171"/>
    <col min="5634" max="5634" width="3.6328125" style="171" customWidth="1"/>
    <col min="5635" max="5635" width="36.36328125" style="171" customWidth="1"/>
    <col min="5636" max="5636" width="49.08984375" style="171" customWidth="1"/>
    <col min="5637" max="5889" width="8.81640625" style="171"/>
    <col min="5890" max="5890" width="3.6328125" style="171" customWidth="1"/>
    <col min="5891" max="5891" width="36.36328125" style="171" customWidth="1"/>
    <col min="5892" max="5892" width="49.08984375" style="171" customWidth="1"/>
    <col min="5893" max="6145" width="8.81640625" style="171"/>
    <col min="6146" max="6146" width="3.6328125" style="171" customWidth="1"/>
    <col min="6147" max="6147" width="36.36328125" style="171" customWidth="1"/>
    <col min="6148" max="6148" width="49.08984375" style="171" customWidth="1"/>
    <col min="6149" max="6401" width="8.81640625" style="171"/>
    <col min="6402" max="6402" width="3.6328125" style="171" customWidth="1"/>
    <col min="6403" max="6403" width="36.36328125" style="171" customWidth="1"/>
    <col min="6404" max="6404" width="49.08984375" style="171" customWidth="1"/>
    <col min="6405" max="6657" width="8.81640625" style="171"/>
    <col min="6658" max="6658" width="3.6328125" style="171" customWidth="1"/>
    <col min="6659" max="6659" width="36.36328125" style="171" customWidth="1"/>
    <col min="6660" max="6660" width="49.08984375" style="171" customWidth="1"/>
    <col min="6661" max="6913" width="8.81640625" style="171"/>
    <col min="6914" max="6914" width="3.6328125" style="171" customWidth="1"/>
    <col min="6915" max="6915" width="36.36328125" style="171" customWidth="1"/>
    <col min="6916" max="6916" width="49.08984375" style="171" customWidth="1"/>
    <col min="6917" max="7169" width="8.81640625" style="171"/>
    <col min="7170" max="7170" width="3.6328125" style="171" customWidth="1"/>
    <col min="7171" max="7171" width="36.36328125" style="171" customWidth="1"/>
    <col min="7172" max="7172" width="49.08984375" style="171" customWidth="1"/>
    <col min="7173" max="7425" width="8.81640625" style="171"/>
    <col min="7426" max="7426" width="3.6328125" style="171" customWidth="1"/>
    <col min="7427" max="7427" width="36.36328125" style="171" customWidth="1"/>
    <col min="7428" max="7428" width="49.08984375" style="171" customWidth="1"/>
    <col min="7429" max="7681" width="8.81640625" style="171"/>
    <col min="7682" max="7682" width="3.6328125" style="171" customWidth="1"/>
    <col min="7683" max="7683" width="36.36328125" style="171" customWidth="1"/>
    <col min="7684" max="7684" width="49.08984375" style="171" customWidth="1"/>
    <col min="7685" max="7937" width="8.81640625" style="171"/>
    <col min="7938" max="7938" width="3.6328125" style="171" customWidth="1"/>
    <col min="7939" max="7939" width="36.36328125" style="171" customWidth="1"/>
    <col min="7940" max="7940" width="49.08984375" style="171" customWidth="1"/>
    <col min="7941" max="8193" width="8.81640625" style="171"/>
    <col min="8194" max="8194" width="3.6328125" style="171" customWidth="1"/>
    <col min="8195" max="8195" width="36.36328125" style="171" customWidth="1"/>
    <col min="8196" max="8196" width="49.08984375" style="171" customWidth="1"/>
    <col min="8197" max="8449" width="8.81640625" style="171"/>
    <col min="8450" max="8450" width="3.6328125" style="171" customWidth="1"/>
    <col min="8451" max="8451" width="36.36328125" style="171" customWidth="1"/>
    <col min="8452" max="8452" width="49.08984375" style="171" customWidth="1"/>
    <col min="8453" max="8705" width="8.81640625" style="171"/>
    <col min="8706" max="8706" width="3.6328125" style="171" customWidth="1"/>
    <col min="8707" max="8707" width="36.36328125" style="171" customWidth="1"/>
    <col min="8708" max="8708" width="49.08984375" style="171" customWidth="1"/>
    <col min="8709" max="8961" width="8.81640625" style="171"/>
    <col min="8962" max="8962" width="3.6328125" style="171" customWidth="1"/>
    <col min="8963" max="8963" width="36.36328125" style="171" customWidth="1"/>
    <col min="8964" max="8964" width="49.08984375" style="171" customWidth="1"/>
    <col min="8965" max="9217" width="8.81640625" style="171"/>
    <col min="9218" max="9218" width="3.6328125" style="171" customWidth="1"/>
    <col min="9219" max="9219" width="36.36328125" style="171" customWidth="1"/>
    <col min="9220" max="9220" width="49.08984375" style="171" customWidth="1"/>
    <col min="9221" max="9473" width="8.81640625" style="171"/>
    <col min="9474" max="9474" width="3.6328125" style="171" customWidth="1"/>
    <col min="9475" max="9475" width="36.36328125" style="171" customWidth="1"/>
    <col min="9476" max="9476" width="49.08984375" style="171" customWidth="1"/>
    <col min="9477" max="9729" width="8.81640625" style="171"/>
    <col min="9730" max="9730" width="3.6328125" style="171" customWidth="1"/>
    <col min="9731" max="9731" width="36.36328125" style="171" customWidth="1"/>
    <col min="9732" max="9732" width="49.08984375" style="171" customWidth="1"/>
    <col min="9733" max="9985" width="8.81640625" style="171"/>
    <col min="9986" max="9986" width="3.6328125" style="171" customWidth="1"/>
    <col min="9987" max="9987" width="36.36328125" style="171" customWidth="1"/>
    <col min="9988" max="9988" width="49.08984375" style="171" customWidth="1"/>
    <col min="9989" max="10241" width="8.81640625" style="171"/>
    <col min="10242" max="10242" width="3.6328125" style="171" customWidth="1"/>
    <col min="10243" max="10243" width="36.36328125" style="171" customWidth="1"/>
    <col min="10244" max="10244" width="49.08984375" style="171" customWidth="1"/>
    <col min="10245" max="10497" width="8.81640625" style="171"/>
    <col min="10498" max="10498" width="3.6328125" style="171" customWidth="1"/>
    <col min="10499" max="10499" width="36.36328125" style="171" customWidth="1"/>
    <col min="10500" max="10500" width="49.08984375" style="171" customWidth="1"/>
    <col min="10501" max="10753" width="8.81640625" style="171"/>
    <col min="10754" max="10754" width="3.6328125" style="171" customWidth="1"/>
    <col min="10755" max="10755" width="36.36328125" style="171" customWidth="1"/>
    <col min="10756" max="10756" width="49.08984375" style="171" customWidth="1"/>
    <col min="10757" max="11009" width="8.81640625" style="171"/>
    <col min="11010" max="11010" width="3.6328125" style="171" customWidth="1"/>
    <col min="11011" max="11011" width="36.36328125" style="171" customWidth="1"/>
    <col min="11012" max="11012" width="49.08984375" style="171" customWidth="1"/>
    <col min="11013" max="11265" width="8.81640625" style="171"/>
    <col min="11266" max="11266" width="3.6328125" style="171" customWidth="1"/>
    <col min="11267" max="11267" width="36.36328125" style="171" customWidth="1"/>
    <col min="11268" max="11268" width="49.08984375" style="171" customWidth="1"/>
    <col min="11269" max="11521" width="8.81640625" style="171"/>
    <col min="11522" max="11522" width="3.6328125" style="171" customWidth="1"/>
    <col min="11523" max="11523" width="36.36328125" style="171" customWidth="1"/>
    <col min="11524" max="11524" width="49.08984375" style="171" customWidth="1"/>
    <col min="11525" max="11777" width="8.81640625" style="171"/>
    <col min="11778" max="11778" width="3.6328125" style="171" customWidth="1"/>
    <col min="11779" max="11779" width="36.36328125" style="171" customWidth="1"/>
    <col min="11780" max="11780" width="49.08984375" style="171" customWidth="1"/>
    <col min="11781" max="12033" width="8.81640625" style="171"/>
    <col min="12034" max="12034" width="3.6328125" style="171" customWidth="1"/>
    <col min="12035" max="12035" width="36.36328125" style="171" customWidth="1"/>
    <col min="12036" max="12036" width="49.08984375" style="171" customWidth="1"/>
    <col min="12037" max="12289" width="8.81640625" style="171"/>
    <col min="12290" max="12290" width="3.6328125" style="171" customWidth="1"/>
    <col min="12291" max="12291" width="36.36328125" style="171" customWidth="1"/>
    <col min="12292" max="12292" width="49.08984375" style="171" customWidth="1"/>
    <col min="12293" max="12545" width="8.81640625" style="171"/>
    <col min="12546" max="12546" width="3.6328125" style="171" customWidth="1"/>
    <col min="12547" max="12547" width="36.36328125" style="171" customWidth="1"/>
    <col min="12548" max="12548" width="49.08984375" style="171" customWidth="1"/>
    <col min="12549" max="12801" width="8.81640625" style="171"/>
    <col min="12802" max="12802" width="3.6328125" style="171" customWidth="1"/>
    <col min="12803" max="12803" width="36.36328125" style="171" customWidth="1"/>
    <col min="12804" max="12804" width="49.08984375" style="171" customWidth="1"/>
    <col min="12805" max="13057" width="8.81640625" style="171"/>
    <col min="13058" max="13058" width="3.6328125" style="171" customWidth="1"/>
    <col min="13059" max="13059" width="36.36328125" style="171" customWidth="1"/>
    <col min="13060" max="13060" width="49.08984375" style="171" customWidth="1"/>
    <col min="13061" max="13313" width="8.81640625" style="171"/>
    <col min="13314" max="13314" width="3.6328125" style="171" customWidth="1"/>
    <col min="13315" max="13315" width="36.36328125" style="171" customWidth="1"/>
    <col min="13316" max="13316" width="49.08984375" style="171" customWidth="1"/>
    <col min="13317" max="13569" width="8.81640625" style="171"/>
    <col min="13570" max="13570" width="3.6328125" style="171" customWidth="1"/>
    <col min="13571" max="13571" width="36.36328125" style="171" customWidth="1"/>
    <col min="13572" max="13572" width="49.08984375" style="171" customWidth="1"/>
    <col min="13573" max="13825" width="8.81640625" style="171"/>
    <col min="13826" max="13826" width="3.6328125" style="171" customWidth="1"/>
    <col min="13827" max="13827" width="36.36328125" style="171" customWidth="1"/>
    <col min="13828" max="13828" width="49.08984375" style="171" customWidth="1"/>
    <col min="13829" max="14081" width="8.81640625" style="171"/>
    <col min="14082" max="14082" width="3.6328125" style="171" customWidth="1"/>
    <col min="14083" max="14083" width="36.36328125" style="171" customWidth="1"/>
    <col min="14084" max="14084" width="49.08984375" style="171" customWidth="1"/>
    <col min="14085" max="14337" width="8.81640625" style="171"/>
    <col min="14338" max="14338" width="3.6328125" style="171" customWidth="1"/>
    <col min="14339" max="14339" width="36.36328125" style="171" customWidth="1"/>
    <col min="14340" max="14340" width="49.08984375" style="171" customWidth="1"/>
    <col min="14341" max="14593" width="8.81640625" style="171"/>
    <col min="14594" max="14594" width="3.6328125" style="171" customWidth="1"/>
    <col min="14595" max="14595" width="36.36328125" style="171" customWidth="1"/>
    <col min="14596" max="14596" width="49.08984375" style="171" customWidth="1"/>
    <col min="14597" max="14849" width="8.81640625" style="171"/>
    <col min="14850" max="14850" width="3.6328125" style="171" customWidth="1"/>
    <col min="14851" max="14851" width="36.36328125" style="171" customWidth="1"/>
    <col min="14852" max="14852" width="49.08984375" style="171" customWidth="1"/>
    <col min="14853" max="15105" width="8.81640625" style="171"/>
    <col min="15106" max="15106" width="3.6328125" style="171" customWidth="1"/>
    <col min="15107" max="15107" width="36.36328125" style="171" customWidth="1"/>
    <col min="15108" max="15108" width="49.08984375" style="171" customWidth="1"/>
    <col min="15109" max="15361" width="8.81640625" style="171"/>
    <col min="15362" max="15362" width="3.6328125" style="171" customWidth="1"/>
    <col min="15363" max="15363" width="36.36328125" style="171" customWidth="1"/>
    <col min="15364" max="15364" width="49.08984375" style="171" customWidth="1"/>
    <col min="15365" max="15617" width="8.81640625" style="171"/>
    <col min="15618" max="15618" width="3.6328125" style="171" customWidth="1"/>
    <col min="15619" max="15619" width="36.36328125" style="171" customWidth="1"/>
    <col min="15620" max="15620" width="49.08984375" style="171" customWidth="1"/>
    <col min="15621" max="15873" width="8.81640625" style="171"/>
    <col min="15874" max="15874" width="3.6328125" style="171" customWidth="1"/>
    <col min="15875" max="15875" width="36.36328125" style="171" customWidth="1"/>
    <col min="15876" max="15876" width="49.08984375" style="171" customWidth="1"/>
    <col min="15877" max="16129" width="8.81640625" style="171"/>
    <col min="16130" max="16130" width="3.6328125" style="171" customWidth="1"/>
    <col min="16131" max="16131" width="36.36328125" style="171" customWidth="1"/>
    <col min="16132" max="16132" width="49.08984375" style="171" customWidth="1"/>
    <col min="16133" max="16384" width="8.81640625" style="171"/>
  </cols>
  <sheetData>
    <row r="1" spans="1:4" ht="18" customHeight="1" x14ac:dyDescent="0.2">
      <c r="D1" s="160" t="str">
        <f>'MPS(input_Option1)'!K1</f>
        <v>Monitoring Spreadsheet: JCM_KH_AM004_ver01.1</v>
      </c>
    </row>
    <row r="2" spans="1:4" ht="18" customHeight="1" x14ac:dyDescent="0.2">
      <c r="D2" s="160" t="str">
        <f>'MPS(input_Option1)'!K2</f>
        <v>Reference Number: KH005</v>
      </c>
    </row>
    <row r="3" spans="1:4" ht="24" customHeight="1" x14ac:dyDescent="0.2">
      <c r="A3" s="240" t="s">
        <v>408</v>
      </c>
      <c r="B3" s="240"/>
      <c r="C3" s="240"/>
      <c r="D3" s="240"/>
    </row>
    <row r="5" spans="1:4" ht="13.5" customHeight="1" x14ac:dyDescent="0.2">
      <c r="A5" s="233" t="s">
        <v>409</v>
      </c>
      <c r="B5" s="233"/>
      <c r="C5" s="233"/>
      <c r="D5" s="233"/>
    </row>
    <row r="7" spans="1:4" x14ac:dyDescent="0.2">
      <c r="B7" s="171" t="s">
        <v>410</v>
      </c>
    </row>
    <row r="8" spans="1:4" ht="30.75" customHeight="1" x14ac:dyDescent="0.2">
      <c r="B8" s="161" t="s">
        <v>235</v>
      </c>
      <c r="C8" s="161" t="s">
        <v>411</v>
      </c>
      <c r="D8" s="161" t="s">
        <v>412</v>
      </c>
    </row>
    <row r="9" spans="1:4" ht="50.15" customHeight="1" x14ac:dyDescent="0.2">
      <c r="B9" s="162" t="s">
        <v>439</v>
      </c>
      <c r="C9" s="162" t="s">
        <v>440</v>
      </c>
      <c r="D9" s="162" t="s">
        <v>441</v>
      </c>
    </row>
    <row r="10" spans="1:4" ht="50.15" customHeight="1" x14ac:dyDescent="0.2">
      <c r="B10" s="162" t="s">
        <v>442</v>
      </c>
      <c r="C10" s="162" t="s">
        <v>440</v>
      </c>
      <c r="D10" s="162" t="s">
        <v>441</v>
      </c>
    </row>
    <row r="11" spans="1:4" ht="50.15" customHeight="1" x14ac:dyDescent="0.2">
      <c r="B11" s="162" t="s">
        <v>443</v>
      </c>
      <c r="C11" s="162" t="s">
        <v>444</v>
      </c>
      <c r="D11" s="162" t="s">
        <v>445</v>
      </c>
    </row>
    <row r="12" spans="1:4" ht="50.15" customHeight="1" x14ac:dyDescent="0.2">
      <c r="B12" s="162" t="s">
        <v>446</v>
      </c>
      <c r="C12" s="162" t="s">
        <v>447</v>
      </c>
      <c r="D12" s="162" t="s">
        <v>448</v>
      </c>
    </row>
    <row r="13" spans="1:4" ht="50.15" customHeight="1" x14ac:dyDescent="0.2">
      <c r="B13" s="162" t="s">
        <v>449</v>
      </c>
      <c r="C13" s="162" t="s">
        <v>450</v>
      </c>
      <c r="D13" s="162" t="s">
        <v>451</v>
      </c>
    </row>
    <row r="14" spans="1:4" ht="50.15" customHeight="1" x14ac:dyDescent="0.2">
      <c r="B14" s="162" t="s">
        <v>452</v>
      </c>
      <c r="C14" s="162" t="s">
        <v>453</v>
      </c>
      <c r="D14" s="162" t="s">
        <v>454</v>
      </c>
    </row>
    <row r="15" spans="1:4" ht="50.15" customHeight="1" x14ac:dyDescent="0.2">
      <c r="B15" s="162" t="s">
        <v>455</v>
      </c>
      <c r="C15" s="162" t="s">
        <v>453</v>
      </c>
      <c r="D15" s="162" t="s">
        <v>454</v>
      </c>
    </row>
    <row r="16" spans="1:4" ht="50.15" customHeight="1" x14ac:dyDescent="0.2">
      <c r="B16" s="162" t="s">
        <v>456</v>
      </c>
      <c r="C16" s="162" t="s">
        <v>457</v>
      </c>
      <c r="D16" s="162" t="s">
        <v>454</v>
      </c>
    </row>
    <row r="17" spans="1:4" ht="50.15" customHeight="1" x14ac:dyDescent="0.2">
      <c r="B17" s="184" t="s">
        <v>458</v>
      </c>
      <c r="C17" s="184" t="s">
        <v>457</v>
      </c>
      <c r="D17" s="185" t="s">
        <v>454</v>
      </c>
    </row>
    <row r="18" spans="1:4" ht="50.15" customHeight="1" x14ac:dyDescent="0.2">
      <c r="B18" s="186" t="s">
        <v>459</v>
      </c>
      <c r="C18" s="186" t="s">
        <v>460</v>
      </c>
      <c r="D18" s="187" t="s">
        <v>448</v>
      </c>
    </row>
    <row r="20" spans="1:4" x14ac:dyDescent="0.2">
      <c r="B20" s="171" t="s">
        <v>413</v>
      </c>
    </row>
    <row r="21" spans="1:4" ht="30" customHeight="1" x14ac:dyDescent="0.2">
      <c r="B21" s="161" t="s">
        <v>414</v>
      </c>
      <c r="C21" s="236" t="s">
        <v>415</v>
      </c>
      <c r="D21" s="237"/>
    </row>
    <row r="22" spans="1:4" ht="50.15" customHeight="1" x14ac:dyDescent="0.2">
      <c r="B22" s="162" t="s">
        <v>461</v>
      </c>
      <c r="C22" s="234" t="s">
        <v>462</v>
      </c>
      <c r="D22" s="235"/>
    </row>
    <row r="23" spans="1:4" ht="50.15" customHeight="1" x14ac:dyDescent="0.2">
      <c r="B23" s="162" t="s">
        <v>463</v>
      </c>
      <c r="C23" s="234" t="s">
        <v>464</v>
      </c>
      <c r="D23" s="235"/>
    </row>
    <row r="24" spans="1:4" ht="50.15" customHeight="1" x14ac:dyDescent="0.2">
      <c r="B24" s="162" t="s">
        <v>465</v>
      </c>
      <c r="C24" s="234" t="s">
        <v>466</v>
      </c>
      <c r="D24" s="235"/>
    </row>
    <row r="25" spans="1:4" ht="50.15" customHeight="1" x14ac:dyDescent="0.2">
      <c r="B25" s="162" t="s">
        <v>467</v>
      </c>
      <c r="C25" s="234" t="s">
        <v>468</v>
      </c>
      <c r="D25" s="235"/>
    </row>
    <row r="26" spans="1:4" ht="50.15" customHeight="1" x14ac:dyDescent="0.2">
      <c r="B26" s="162" t="s">
        <v>469</v>
      </c>
      <c r="C26" s="181" t="s">
        <v>470</v>
      </c>
      <c r="D26" s="182"/>
    </row>
    <row r="27" spans="1:4" ht="50.15" customHeight="1" x14ac:dyDescent="0.2">
      <c r="B27" s="188" t="s">
        <v>471</v>
      </c>
      <c r="C27" s="189" t="s">
        <v>472</v>
      </c>
      <c r="D27" s="190"/>
    </row>
    <row r="28" spans="1:4" ht="50.15" customHeight="1" x14ac:dyDescent="0.2">
      <c r="B28" s="191" t="s">
        <v>473</v>
      </c>
      <c r="C28" s="173" t="s">
        <v>474</v>
      </c>
      <c r="D28" s="192"/>
    </row>
    <row r="29" spans="1:4" ht="50.15" customHeight="1" x14ac:dyDescent="0.2">
      <c r="B29" s="186" t="s">
        <v>475</v>
      </c>
      <c r="C29" s="238" t="s">
        <v>476</v>
      </c>
      <c r="D29" s="239"/>
    </row>
    <row r="32" spans="1:4" ht="13.5" customHeight="1" x14ac:dyDescent="0.2">
      <c r="A32" s="233" t="s">
        <v>416</v>
      </c>
      <c r="B32" s="233"/>
      <c r="C32" s="233"/>
      <c r="D32" s="233"/>
    </row>
    <row r="34" spans="1:4" ht="30.75" customHeight="1" x14ac:dyDescent="0.2">
      <c r="B34" s="15" t="s">
        <v>15</v>
      </c>
      <c r="C34" s="236" t="s">
        <v>417</v>
      </c>
      <c r="D34" s="237"/>
    </row>
    <row r="35" spans="1:4" ht="49.5" customHeight="1" x14ac:dyDescent="0.2">
      <c r="B35" s="162" t="s">
        <v>439</v>
      </c>
      <c r="C35" s="234" t="s">
        <v>477</v>
      </c>
      <c r="D35" s="235"/>
    </row>
    <row r="36" spans="1:4" ht="49.5" customHeight="1" x14ac:dyDescent="0.2">
      <c r="B36" s="162" t="s">
        <v>442</v>
      </c>
      <c r="C36" s="234" t="s">
        <v>477</v>
      </c>
      <c r="D36" s="235"/>
    </row>
    <row r="37" spans="1:4" ht="49.5" customHeight="1" x14ac:dyDescent="0.2">
      <c r="B37" s="162" t="s">
        <v>478</v>
      </c>
      <c r="C37" s="234" t="s">
        <v>40</v>
      </c>
      <c r="D37" s="235"/>
    </row>
    <row r="38" spans="1:4" ht="49.5" customHeight="1" x14ac:dyDescent="0.2">
      <c r="B38" s="162" t="s">
        <v>479</v>
      </c>
      <c r="C38" s="234" t="s">
        <v>480</v>
      </c>
      <c r="D38" s="235"/>
    </row>
    <row r="39" spans="1:4" ht="49.5" customHeight="1" x14ac:dyDescent="0.2">
      <c r="B39" s="162" t="s">
        <v>481</v>
      </c>
      <c r="C39" s="234" t="s">
        <v>482</v>
      </c>
      <c r="D39" s="235"/>
    </row>
    <row r="40" spans="1:4" ht="49.5" customHeight="1" x14ac:dyDescent="0.2">
      <c r="B40" s="162" t="s">
        <v>483</v>
      </c>
      <c r="C40" s="234" t="s">
        <v>484</v>
      </c>
      <c r="D40" s="235"/>
    </row>
    <row r="41" spans="1:4" ht="49.5" customHeight="1" x14ac:dyDescent="0.2">
      <c r="B41" s="162" t="s">
        <v>485</v>
      </c>
      <c r="C41" s="234" t="s">
        <v>484</v>
      </c>
      <c r="D41" s="235"/>
    </row>
    <row r="42" spans="1:4" ht="49.5" customHeight="1" x14ac:dyDescent="0.2">
      <c r="B42" s="162" t="s">
        <v>486</v>
      </c>
      <c r="C42" s="234" t="s">
        <v>487</v>
      </c>
      <c r="D42" s="235"/>
    </row>
    <row r="43" spans="1:4" ht="14.25" customHeight="1" x14ac:dyDescent="0.2">
      <c r="B43" s="172"/>
      <c r="C43" s="173"/>
      <c r="D43" s="173"/>
    </row>
    <row r="45" spans="1:4" ht="13.5" customHeight="1" x14ac:dyDescent="0.2">
      <c r="A45" s="233" t="s">
        <v>418</v>
      </c>
      <c r="B45" s="233"/>
      <c r="C45" s="233"/>
      <c r="D45" s="233"/>
    </row>
    <row r="47" spans="1:4" ht="30.75" customHeight="1" x14ac:dyDescent="0.2">
      <c r="B47" s="15" t="s">
        <v>15</v>
      </c>
      <c r="C47" s="236" t="s">
        <v>419</v>
      </c>
      <c r="D47" s="237"/>
    </row>
    <row r="48" spans="1:4" ht="49.5" customHeight="1" x14ac:dyDescent="0.2">
      <c r="B48" s="162" t="s">
        <v>439</v>
      </c>
      <c r="C48" s="234" t="s">
        <v>488</v>
      </c>
      <c r="D48" s="235"/>
    </row>
    <row r="49" spans="1:4" ht="49.5" customHeight="1" x14ac:dyDescent="0.2">
      <c r="B49" s="162" t="s">
        <v>442</v>
      </c>
      <c r="C49" s="234" t="s">
        <v>488</v>
      </c>
      <c r="D49" s="235"/>
    </row>
    <row r="50" spans="1:4" ht="49.5" customHeight="1" x14ac:dyDescent="0.2">
      <c r="B50" s="162" t="s">
        <v>478</v>
      </c>
      <c r="C50" s="234" t="s">
        <v>489</v>
      </c>
      <c r="D50" s="235"/>
    </row>
    <row r="51" spans="1:4" ht="49.5" customHeight="1" x14ac:dyDescent="0.2">
      <c r="B51" s="162" t="s">
        <v>479</v>
      </c>
      <c r="C51" s="234" t="s">
        <v>488</v>
      </c>
      <c r="D51" s="235"/>
    </row>
    <row r="52" spans="1:4" ht="49.5" customHeight="1" x14ac:dyDescent="0.2">
      <c r="B52" s="162" t="s">
        <v>481</v>
      </c>
      <c r="C52" s="234" t="s">
        <v>488</v>
      </c>
      <c r="D52" s="235"/>
    </row>
    <row r="53" spans="1:4" ht="49.5" customHeight="1" x14ac:dyDescent="0.2">
      <c r="B53" s="162" t="s">
        <v>483</v>
      </c>
      <c r="C53" s="234" t="s">
        <v>488</v>
      </c>
      <c r="D53" s="235"/>
    </row>
    <row r="54" spans="1:4" ht="49.5" customHeight="1" x14ac:dyDescent="0.2">
      <c r="B54" s="162" t="s">
        <v>485</v>
      </c>
      <c r="C54" s="234" t="s">
        <v>488</v>
      </c>
      <c r="D54" s="235"/>
    </row>
    <row r="55" spans="1:4" ht="49.5" customHeight="1" x14ac:dyDescent="0.2">
      <c r="B55" s="162" t="s">
        <v>486</v>
      </c>
      <c r="C55" s="234" t="s">
        <v>488</v>
      </c>
      <c r="D55" s="235"/>
    </row>
    <row r="58" spans="1:4" ht="13.5" customHeight="1" x14ac:dyDescent="0.2">
      <c r="A58" s="233" t="s">
        <v>420</v>
      </c>
      <c r="B58" s="233"/>
      <c r="C58" s="233"/>
      <c r="D58" s="233"/>
    </row>
    <row r="60" spans="1:4" ht="30.75" customHeight="1" x14ac:dyDescent="0.2">
      <c r="B60" s="15" t="s">
        <v>15</v>
      </c>
      <c r="C60" s="236" t="s">
        <v>421</v>
      </c>
      <c r="D60" s="237"/>
    </row>
    <row r="61" spans="1:4" ht="49.5" customHeight="1" x14ac:dyDescent="0.2">
      <c r="B61" s="162" t="s">
        <v>439</v>
      </c>
      <c r="C61" s="234" t="s">
        <v>490</v>
      </c>
      <c r="D61" s="235"/>
    </row>
    <row r="62" spans="1:4" ht="49.5" customHeight="1" x14ac:dyDescent="0.2">
      <c r="B62" s="162" t="s">
        <v>442</v>
      </c>
      <c r="C62" s="234" t="s">
        <v>490</v>
      </c>
      <c r="D62" s="235"/>
    </row>
    <row r="63" spans="1:4" ht="49.5" customHeight="1" x14ac:dyDescent="0.2">
      <c r="B63" s="162" t="s">
        <v>478</v>
      </c>
      <c r="C63" s="234" t="s">
        <v>491</v>
      </c>
      <c r="D63" s="235"/>
    </row>
    <row r="64" spans="1:4" ht="49.5" customHeight="1" x14ac:dyDescent="0.2">
      <c r="B64" s="162" t="s">
        <v>479</v>
      </c>
      <c r="C64" s="234" t="s">
        <v>491</v>
      </c>
      <c r="D64" s="235"/>
    </row>
    <row r="65" spans="1:4" ht="49.5" customHeight="1" x14ac:dyDescent="0.2">
      <c r="B65" s="162" t="s">
        <v>481</v>
      </c>
      <c r="C65" s="234" t="s">
        <v>491</v>
      </c>
      <c r="D65" s="235"/>
    </row>
    <row r="66" spans="1:4" ht="49.5" customHeight="1" x14ac:dyDescent="0.2">
      <c r="B66" s="162" t="s">
        <v>483</v>
      </c>
      <c r="C66" s="234" t="s">
        <v>491</v>
      </c>
      <c r="D66" s="235"/>
    </row>
    <row r="67" spans="1:4" ht="49.5" customHeight="1" x14ac:dyDescent="0.2">
      <c r="B67" s="162" t="s">
        <v>485</v>
      </c>
      <c r="C67" s="234" t="s">
        <v>491</v>
      </c>
      <c r="D67" s="235"/>
    </row>
    <row r="68" spans="1:4" ht="49.5" customHeight="1" x14ac:dyDescent="0.2">
      <c r="B68" s="162" t="s">
        <v>486</v>
      </c>
      <c r="C68" s="234" t="s">
        <v>491</v>
      </c>
      <c r="D68" s="235"/>
    </row>
    <row r="71" spans="1:4" ht="13.5" customHeight="1" x14ac:dyDescent="0.2">
      <c r="A71" s="233" t="s">
        <v>422</v>
      </c>
      <c r="B71" s="233"/>
      <c r="C71" s="233"/>
      <c r="D71" s="233"/>
    </row>
    <row r="72" spans="1:4" x14ac:dyDescent="0.2">
      <c r="A72" s="230"/>
      <c r="B72" s="231"/>
      <c r="C72" s="231"/>
      <c r="D72" s="232"/>
    </row>
    <row r="73" spans="1:4" x14ac:dyDescent="0.2">
      <c r="A73" s="230"/>
      <c r="B73" s="231"/>
      <c r="C73" s="231"/>
      <c r="D73" s="232"/>
    </row>
  </sheetData>
  <sheetProtection algorithmName="SHA-512" hashValue="olwTUG4j0eMYRX7HO5uGmU+tLXAdt/GyTBlfU0o9f3+BYYeTEw4qvLO8FCgAjhCIBOyIyMn7ADBuPfx5nY81Zw==" saltValue="avGIqS+/R2p1NPs91nUteQ==" spinCount="100000" sheet="1" formatCells="0" formatRows="0" insertRows="0"/>
  <mergeCells count="41">
    <mergeCell ref="C24:D24"/>
    <mergeCell ref="C25:D25"/>
    <mergeCell ref="C29:D29"/>
    <mergeCell ref="A32:D32"/>
    <mergeCell ref="A3:D3"/>
    <mergeCell ref="A5:D5"/>
    <mergeCell ref="C21:D21"/>
    <mergeCell ref="C22:D22"/>
    <mergeCell ref="C23:D23"/>
    <mergeCell ref="A72:D72"/>
    <mergeCell ref="C37:D37"/>
    <mergeCell ref="C35:D35"/>
    <mergeCell ref="C34:D34"/>
    <mergeCell ref="C36:D36"/>
    <mergeCell ref="C39:D39"/>
    <mergeCell ref="C40:D40"/>
    <mergeCell ref="C41:D41"/>
    <mergeCell ref="C42:D42"/>
    <mergeCell ref="C38:D38"/>
    <mergeCell ref="C47:D47"/>
    <mergeCell ref="C48:D48"/>
    <mergeCell ref="C65:D65"/>
    <mergeCell ref="C66:D66"/>
    <mergeCell ref="C67:D67"/>
    <mergeCell ref="C68:D68"/>
    <mergeCell ref="A73:D73"/>
    <mergeCell ref="A45:D45"/>
    <mergeCell ref="A58:D58"/>
    <mergeCell ref="A71:D71"/>
    <mergeCell ref="C50:D50"/>
    <mergeCell ref="C51:D51"/>
    <mergeCell ref="C52:D52"/>
    <mergeCell ref="C53:D53"/>
    <mergeCell ref="C54:D54"/>
    <mergeCell ref="C55:D55"/>
    <mergeCell ref="C60:D60"/>
    <mergeCell ref="C61:D61"/>
    <mergeCell ref="C62:D62"/>
    <mergeCell ref="C49:D49"/>
    <mergeCell ref="C63:D63"/>
    <mergeCell ref="C64:D64"/>
  </mergeCells>
  <phoneticPr fontId="9"/>
  <pageMargins left="0.70866141732283472" right="0.70866141732283472" top="0.74803149606299213" bottom="0.74803149606299213" header="0.31496062992125984" footer="0.31496062992125984"/>
  <pageSetup paperSize="9" scale="70" orientation="portrait" r:id="rId1"/>
  <rowBreaks count="2" manualBreakCount="2">
    <brk id="31" max="3" man="1"/>
    <brk id="5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86D9-65D6-48CE-9280-4353450C3C77}">
  <sheetPr>
    <tabColor theme="5" tint="0.39997558519241921"/>
    <pageSetUpPr fitToPage="1"/>
  </sheetPr>
  <dimension ref="A1:L92"/>
  <sheetViews>
    <sheetView view="pageBreakPreview" zoomScale="70" zoomScaleNormal="100" zoomScaleSheetLayoutView="70" workbookViewId="0"/>
  </sheetViews>
  <sheetFormatPr defaultColWidth="9" defaultRowHeight="14" x14ac:dyDescent="0.2"/>
  <cols>
    <col min="1" max="1" width="3.6328125" style="10" customWidth="1"/>
    <col min="2" max="2" width="17.453125" style="10" customWidth="1"/>
    <col min="3" max="3" width="12.453125" style="10" customWidth="1"/>
    <col min="4" max="4" width="21.08984375" style="10" bestFit="1" customWidth="1"/>
    <col min="5" max="5" width="39.90625" style="10" customWidth="1"/>
    <col min="6" max="6" width="16.90625" style="10" bestFit="1" customWidth="1"/>
    <col min="7" max="7" width="15.90625" style="11" customWidth="1"/>
    <col min="8" max="8" width="15.453125" style="10" customWidth="1"/>
    <col min="9" max="9" width="21.36328125" style="10" customWidth="1"/>
    <col min="10" max="10" width="63.453125" style="11" customWidth="1"/>
    <col min="11" max="11" width="15.90625" style="11" customWidth="1"/>
    <col min="12" max="12" width="26.453125" style="10" customWidth="1"/>
    <col min="13" max="16384" width="9" style="10"/>
  </cols>
  <sheetData>
    <row r="1" spans="1:12" x14ac:dyDescent="0.2">
      <c r="L1" s="3" t="str">
        <f>'MPS(input_Option1)'!K1</f>
        <v>Monitoring Spreadsheet: JCM_KH_AM004_ver01.1</v>
      </c>
    </row>
    <row r="2" spans="1:12" x14ac:dyDescent="0.2">
      <c r="L2" s="3" t="str">
        <f>'MPS(input_Option1)'!K2</f>
        <v>Reference Number: KH005</v>
      </c>
    </row>
    <row r="3" spans="1:12" ht="15.5" x14ac:dyDescent="0.2">
      <c r="A3" s="4" t="s">
        <v>423</v>
      </c>
      <c r="B3" s="5"/>
      <c r="C3" s="5"/>
      <c r="D3" s="5"/>
      <c r="E3" s="5"/>
      <c r="F3" s="5"/>
      <c r="G3" s="12"/>
      <c r="H3" s="5"/>
      <c r="I3" s="5"/>
      <c r="J3" s="12"/>
      <c r="K3" s="12"/>
      <c r="L3" s="13"/>
    </row>
    <row r="5" spans="1:12" x14ac:dyDescent="0.2">
      <c r="A5" s="14" t="s">
        <v>424</v>
      </c>
      <c r="B5" s="14"/>
      <c r="C5" s="14"/>
    </row>
    <row r="6" spans="1:12" x14ac:dyDescent="0.2">
      <c r="A6" s="14"/>
      <c r="B6" s="15" t="s">
        <v>3</v>
      </c>
      <c r="C6" s="15" t="s">
        <v>4</v>
      </c>
      <c r="D6" s="15" t="s">
        <v>5</v>
      </c>
      <c r="E6" s="15" t="s">
        <v>6</v>
      </c>
      <c r="F6" s="15" t="s">
        <v>7</v>
      </c>
      <c r="G6" s="15" t="s">
        <v>8</v>
      </c>
      <c r="H6" s="15" t="s">
        <v>9</v>
      </c>
      <c r="I6" s="15" t="s">
        <v>10</v>
      </c>
      <c r="J6" s="15" t="s">
        <v>11</v>
      </c>
      <c r="K6" s="15" t="s">
        <v>12</v>
      </c>
      <c r="L6" s="15" t="s">
        <v>425</v>
      </c>
    </row>
    <row r="7" spans="1:12" s="11" customFormat="1" ht="28" x14ac:dyDescent="0.2">
      <c r="B7" s="15" t="s">
        <v>426</v>
      </c>
      <c r="C7" s="15" t="s">
        <v>13</v>
      </c>
      <c r="D7" s="15" t="s">
        <v>14</v>
      </c>
      <c r="E7" s="15" t="s">
        <v>15</v>
      </c>
      <c r="F7" s="15" t="s">
        <v>427</v>
      </c>
      <c r="G7" s="15" t="s">
        <v>17</v>
      </c>
      <c r="H7" s="15" t="s">
        <v>18</v>
      </c>
      <c r="I7" s="15" t="s">
        <v>19</v>
      </c>
      <c r="J7" s="15" t="s">
        <v>20</v>
      </c>
      <c r="K7" s="15" t="s">
        <v>21</v>
      </c>
      <c r="L7" s="15" t="s">
        <v>22</v>
      </c>
    </row>
    <row r="8" spans="1:12" s="16" customFormat="1" ht="29" x14ac:dyDescent="0.2">
      <c r="B8" s="166"/>
      <c r="C8" s="17" t="s">
        <v>23</v>
      </c>
      <c r="D8" s="18" t="s">
        <v>24</v>
      </c>
      <c r="E8" s="19" t="s">
        <v>25</v>
      </c>
      <c r="F8" s="20" t="s">
        <v>26</v>
      </c>
      <c r="G8" s="19" t="s">
        <v>27</v>
      </c>
      <c r="H8" s="6" t="s">
        <v>28</v>
      </c>
      <c r="I8" s="6" t="s">
        <v>29</v>
      </c>
      <c r="J8" s="7" t="s">
        <v>26</v>
      </c>
      <c r="K8" s="7" t="s">
        <v>26</v>
      </c>
      <c r="L8" s="7" t="s">
        <v>428</v>
      </c>
    </row>
    <row r="9" spans="1:12" s="16" customFormat="1" ht="43" x14ac:dyDescent="0.2">
      <c r="B9" s="166"/>
      <c r="C9" s="17" t="s">
        <v>31</v>
      </c>
      <c r="D9" s="18" t="s">
        <v>32</v>
      </c>
      <c r="E9" s="19" t="s">
        <v>33</v>
      </c>
      <c r="F9" s="20" t="s">
        <v>26</v>
      </c>
      <c r="G9" s="19" t="s">
        <v>27</v>
      </c>
      <c r="H9" s="6" t="s">
        <v>28</v>
      </c>
      <c r="I9" s="6" t="s">
        <v>29</v>
      </c>
      <c r="J9" s="7" t="s">
        <v>26</v>
      </c>
      <c r="K9" s="7" t="s">
        <v>26</v>
      </c>
      <c r="L9" s="7" t="s">
        <v>428</v>
      </c>
    </row>
    <row r="10" spans="1:12" s="16" customFormat="1" ht="29" x14ac:dyDescent="0.2">
      <c r="B10" s="166"/>
      <c r="C10" s="17" t="s">
        <v>34</v>
      </c>
      <c r="D10" s="18" t="s">
        <v>35</v>
      </c>
      <c r="E10" s="19" t="s">
        <v>36</v>
      </c>
      <c r="F10" s="20" t="s">
        <v>26</v>
      </c>
      <c r="G10" s="19" t="s">
        <v>37</v>
      </c>
      <c r="H10" s="6" t="s">
        <v>38</v>
      </c>
      <c r="I10" s="6" t="s">
        <v>39</v>
      </c>
      <c r="J10" s="6" t="s">
        <v>40</v>
      </c>
      <c r="K10" s="6" t="s">
        <v>41</v>
      </c>
      <c r="L10" s="7" t="s">
        <v>428</v>
      </c>
    </row>
    <row r="11" spans="1:12" s="16" customFormat="1" ht="28.5" x14ac:dyDescent="0.2">
      <c r="B11" s="166"/>
      <c r="C11" s="17" t="s">
        <v>42</v>
      </c>
      <c r="D11" s="18" t="s">
        <v>43</v>
      </c>
      <c r="E11" s="19" t="s">
        <v>44</v>
      </c>
      <c r="F11" s="20" t="s">
        <v>26</v>
      </c>
      <c r="G11" s="19" t="s">
        <v>45</v>
      </c>
      <c r="H11" s="6" t="s">
        <v>46</v>
      </c>
      <c r="I11" s="6" t="s">
        <v>47</v>
      </c>
      <c r="J11" s="6" t="s">
        <v>48</v>
      </c>
      <c r="K11" s="6" t="s">
        <v>41</v>
      </c>
      <c r="L11" s="7" t="s">
        <v>428</v>
      </c>
    </row>
    <row r="12" spans="1:12" s="16" customFormat="1" ht="57.65" customHeight="1" x14ac:dyDescent="0.2">
      <c r="B12" s="166"/>
      <c r="C12" s="17" t="s">
        <v>49</v>
      </c>
      <c r="D12" s="18" t="s">
        <v>50</v>
      </c>
      <c r="E12" s="19" t="s">
        <v>51</v>
      </c>
      <c r="F12" s="20" t="s">
        <v>26</v>
      </c>
      <c r="G12" s="19" t="s">
        <v>52</v>
      </c>
      <c r="H12" s="6" t="s">
        <v>46</v>
      </c>
      <c r="I12" s="6" t="s">
        <v>53</v>
      </c>
      <c r="J12" s="6" t="s">
        <v>54</v>
      </c>
      <c r="K12" s="6" t="s">
        <v>41</v>
      </c>
      <c r="L12" s="7" t="s">
        <v>428</v>
      </c>
    </row>
    <row r="13" spans="1:12" s="16" customFormat="1" ht="42" x14ac:dyDescent="0.2">
      <c r="B13" s="6"/>
      <c r="C13" s="17" t="s">
        <v>55</v>
      </c>
      <c r="D13" s="18" t="s">
        <v>56</v>
      </c>
      <c r="E13" s="19" t="s">
        <v>57</v>
      </c>
      <c r="F13" s="21" t="s">
        <v>26</v>
      </c>
      <c r="G13" s="19" t="s">
        <v>58</v>
      </c>
      <c r="H13" s="6" t="s">
        <v>59</v>
      </c>
      <c r="I13" s="6" t="s">
        <v>60</v>
      </c>
      <c r="J13" s="6" t="s">
        <v>61</v>
      </c>
      <c r="K13" s="6" t="s">
        <v>62</v>
      </c>
      <c r="L13" s="7" t="s">
        <v>428</v>
      </c>
    </row>
    <row r="14" spans="1:12" s="16" customFormat="1" ht="57" x14ac:dyDescent="0.2">
      <c r="B14" s="166"/>
      <c r="C14" s="17" t="s">
        <v>63</v>
      </c>
      <c r="D14" s="18" t="s">
        <v>64</v>
      </c>
      <c r="E14" s="19" t="s">
        <v>65</v>
      </c>
      <c r="F14" s="20" t="s">
        <v>26</v>
      </c>
      <c r="G14" s="19" t="s">
        <v>66</v>
      </c>
      <c r="H14" s="6" t="s">
        <v>38</v>
      </c>
      <c r="I14" s="6" t="s">
        <v>39</v>
      </c>
      <c r="J14" s="6" t="s">
        <v>67</v>
      </c>
      <c r="K14" s="6" t="s">
        <v>41</v>
      </c>
      <c r="L14" s="7" t="s">
        <v>428</v>
      </c>
    </row>
    <row r="15" spans="1:12" s="16" customFormat="1" ht="85" x14ac:dyDescent="0.2">
      <c r="B15" s="166"/>
      <c r="C15" s="17" t="s">
        <v>68</v>
      </c>
      <c r="D15" s="18" t="s">
        <v>69</v>
      </c>
      <c r="E15" s="19" t="s">
        <v>70</v>
      </c>
      <c r="F15" s="20" t="s">
        <v>26</v>
      </c>
      <c r="G15" s="19" t="s">
        <v>66</v>
      </c>
      <c r="H15" s="6" t="s">
        <v>38</v>
      </c>
      <c r="I15" s="6" t="s">
        <v>39</v>
      </c>
      <c r="J15" s="6" t="s">
        <v>71</v>
      </c>
      <c r="K15" s="6" t="s">
        <v>41</v>
      </c>
      <c r="L15" s="7" t="s">
        <v>428</v>
      </c>
    </row>
    <row r="16" spans="1:12" s="16" customFormat="1" ht="28.5" x14ac:dyDescent="0.2">
      <c r="B16" s="166"/>
      <c r="C16" s="17" t="s">
        <v>72</v>
      </c>
      <c r="D16" s="18" t="s">
        <v>73</v>
      </c>
      <c r="E16" s="19" t="s">
        <v>74</v>
      </c>
      <c r="F16" s="20" t="s">
        <v>26</v>
      </c>
      <c r="G16" s="19" t="s">
        <v>75</v>
      </c>
      <c r="H16" s="6" t="s">
        <v>28</v>
      </c>
      <c r="I16" s="6" t="s">
        <v>76</v>
      </c>
      <c r="J16" s="6" t="s">
        <v>26</v>
      </c>
      <c r="K16" s="6" t="s">
        <v>62</v>
      </c>
      <c r="L16" s="7" t="s">
        <v>428</v>
      </c>
    </row>
    <row r="17" spans="1:12" s="16" customFormat="1" ht="28.5" x14ac:dyDescent="0.2">
      <c r="B17" s="166"/>
      <c r="C17" s="17" t="s">
        <v>77</v>
      </c>
      <c r="D17" s="18" t="s">
        <v>78</v>
      </c>
      <c r="E17" s="19" t="s">
        <v>79</v>
      </c>
      <c r="F17" s="20" t="s">
        <v>26</v>
      </c>
      <c r="G17" s="19" t="s">
        <v>75</v>
      </c>
      <c r="H17" s="6" t="s">
        <v>28</v>
      </c>
      <c r="I17" s="6" t="s">
        <v>80</v>
      </c>
      <c r="J17" s="6" t="s">
        <v>26</v>
      </c>
      <c r="K17" s="6" t="s">
        <v>62</v>
      </c>
      <c r="L17" s="7" t="s">
        <v>428</v>
      </c>
    </row>
    <row r="18" spans="1:12" s="16" customFormat="1" ht="70.650000000000006" customHeight="1" x14ac:dyDescent="0.2">
      <c r="B18" s="166"/>
      <c r="C18" s="17" t="s">
        <v>81</v>
      </c>
      <c r="D18" s="18" t="s">
        <v>82</v>
      </c>
      <c r="E18" s="19" t="s">
        <v>83</v>
      </c>
      <c r="F18" s="20" t="s">
        <v>26</v>
      </c>
      <c r="G18" s="19" t="s">
        <v>84</v>
      </c>
      <c r="H18" s="6" t="s">
        <v>59</v>
      </c>
      <c r="I18" s="6" t="s">
        <v>85</v>
      </c>
      <c r="J18" s="6" t="s">
        <v>86</v>
      </c>
      <c r="K18" s="6" t="s">
        <v>41</v>
      </c>
      <c r="L18" s="7" t="s">
        <v>428</v>
      </c>
    </row>
    <row r="19" spans="1:12" s="16" customFormat="1" ht="57.5" x14ac:dyDescent="0.2">
      <c r="B19" s="166"/>
      <c r="C19" s="17" t="s">
        <v>87</v>
      </c>
      <c r="D19" s="18" t="s">
        <v>88</v>
      </c>
      <c r="E19" s="19" t="s">
        <v>89</v>
      </c>
      <c r="F19" s="20" t="s">
        <v>26</v>
      </c>
      <c r="G19" s="19" t="s">
        <v>27</v>
      </c>
      <c r="H19" s="6" t="s">
        <v>46</v>
      </c>
      <c r="I19" s="6" t="s">
        <v>47</v>
      </c>
      <c r="J19" s="6" t="s">
        <v>90</v>
      </c>
      <c r="K19" s="6" t="s">
        <v>41</v>
      </c>
      <c r="L19" s="7" t="s">
        <v>428</v>
      </c>
    </row>
    <row r="20" spans="1:12" s="16" customFormat="1" ht="34.4" customHeight="1" x14ac:dyDescent="0.2">
      <c r="B20" s="166"/>
      <c r="C20" s="17" t="s">
        <v>91</v>
      </c>
      <c r="D20" s="18" t="s">
        <v>92</v>
      </c>
      <c r="E20" s="19" t="s">
        <v>93</v>
      </c>
      <c r="F20" s="20" t="s">
        <v>26</v>
      </c>
      <c r="G20" s="19" t="s">
        <v>94</v>
      </c>
      <c r="H20" s="6" t="s">
        <v>59</v>
      </c>
      <c r="I20" s="6" t="s">
        <v>95</v>
      </c>
      <c r="J20" s="6" t="s">
        <v>96</v>
      </c>
      <c r="K20" s="6" t="s">
        <v>62</v>
      </c>
      <c r="L20" s="7" t="s">
        <v>428</v>
      </c>
    </row>
    <row r="21" spans="1:12" s="16" customFormat="1" ht="28.5" x14ac:dyDescent="0.2">
      <c r="B21" s="166"/>
      <c r="C21" s="17" t="s">
        <v>97</v>
      </c>
      <c r="D21" s="18" t="s">
        <v>98</v>
      </c>
      <c r="E21" s="19" t="s">
        <v>99</v>
      </c>
      <c r="F21" s="20" t="s">
        <v>26</v>
      </c>
      <c r="G21" s="19" t="s">
        <v>94</v>
      </c>
      <c r="H21" s="6" t="s">
        <v>59</v>
      </c>
      <c r="I21" s="6" t="s">
        <v>95</v>
      </c>
      <c r="J21" s="6" t="s">
        <v>96</v>
      </c>
      <c r="K21" s="6" t="s">
        <v>62</v>
      </c>
      <c r="L21" s="7" t="s">
        <v>428</v>
      </c>
    </row>
    <row r="22" spans="1:12" s="16" customFormat="1" ht="42.9" customHeight="1" x14ac:dyDescent="0.2">
      <c r="B22" s="166"/>
      <c r="C22" s="17" t="s">
        <v>100</v>
      </c>
      <c r="D22" s="18" t="s">
        <v>101</v>
      </c>
      <c r="E22" s="19" t="s">
        <v>102</v>
      </c>
      <c r="F22" s="20" t="s">
        <v>26</v>
      </c>
      <c r="G22" s="19" t="s">
        <v>103</v>
      </c>
      <c r="H22" s="6" t="s">
        <v>28</v>
      </c>
      <c r="I22" s="6" t="s">
        <v>80</v>
      </c>
      <c r="J22" s="6" t="s">
        <v>104</v>
      </c>
      <c r="K22" s="6" t="s">
        <v>62</v>
      </c>
      <c r="L22" s="7" t="s">
        <v>428</v>
      </c>
    </row>
    <row r="23" spans="1:12" s="16" customFormat="1" ht="42.9" customHeight="1" x14ac:dyDescent="0.2">
      <c r="B23" s="166"/>
      <c r="C23" s="17" t="s">
        <v>105</v>
      </c>
      <c r="D23" s="18" t="s">
        <v>106</v>
      </c>
      <c r="E23" s="19" t="s">
        <v>107</v>
      </c>
      <c r="F23" s="20" t="s">
        <v>26</v>
      </c>
      <c r="G23" s="19" t="s">
        <v>103</v>
      </c>
      <c r="H23" s="6" t="s">
        <v>28</v>
      </c>
      <c r="I23" s="6" t="s">
        <v>80</v>
      </c>
      <c r="J23" s="6" t="s">
        <v>104</v>
      </c>
      <c r="K23" s="6" t="s">
        <v>62</v>
      </c>
      <c r="L23" s="7" t="s">
        <v>428</v>
      </c>
    </row>
    <row r="24" spans="1:12" s="16" customFormat="1" ht="28.5" x14ac:dyDescent="0.2">
      <c r="B24" s="166"/>
      <c r="C24" s="17" t="s">
        <v>108</v>
      </c>
      <c r="D24" s="18" t="s">
        <v>109</v>
      </c>
      <c r="E24" s="19" t="s">
        <v>110</v>
      </c>
      <c r="F24" s="20" t="s">
        <v>26</v>
      </c>
      <c r="G24" s="19" t="s">
        <v>111</v>
      </c>
      <c r="H24" s="6" t="s">
        <v>46</v>
      </c>
      <c r="I24" s="6" t="s">
        <v>112</v>
      </c>
      <c r="J24" s="6" t="s">
        <v>113</v>
      </c>
      <c r="K24" s="6" t="s">
        <v>62</v>
      </c>
      <c r="L24" s="7" t="s">
        <v>428</v>
      </c>
    </row>
    <row r="25" spans="1:12" s="16" customFormat="1" ht="58.5" x14ac:dyDescent="0.2">
      <c r="B25" s="167"/>
      <c r="C25" s="17" t="s">
        <v>114</v>
      </c>
      <c r="D25" s="22" t="s">
        <v>115</v>
      </c>
      <c r="E25" s="23" t="s">
        <v>116</v>
      </c>
      <c r="F25" s="24" t="s">
        <v>26</v>
      </c>
      <c r="G25" s="19" t="s">
        <v>66</v>
      </c>
      <c r="H25" s="6" t="s">
        <v>38</v>
      </c>
      <c r="I25" s="6" t="s">
        <v>39</v>
      </c>
      <c r="J25" s="6" t="s">
        <v>117</v>
      </c>
      <c r="K25" s="6" t="s">
        <v>41</v>
      </c>
      <c r="L25" s="7" t="s">
        <v>428</v>
      </c>
    </row>
    <row r="26" spans="1:12" s="16" customFormat="1" ht="44.5" x14ac:dyDescent="0.2">
      <c r="B26" s="168"/>
      <c r="C26" s="17" t="s">
        <v>118</v>
      </c>
      <c r="D26" s="25" t="s">
        <v>119</v>
      </c>
      <c r="E26" s="26" t="s">
        <v>120</v>
      </c>
      <c r="F26" s="27" t="s">
        <v>26</v>
      </c>
      <c r="G26" s="19" t="s">
        <v>66</v>
      </c>
      <c r="H26" s="6" t="s">
        <v>38</v>
      </c>
      <c r="I26" s="6" t="s">
        <v>39</v>
      </c>
      <c r="J26" s="6" t="s">
        <v>121</v>
      </c>
      <c r="K26" s="6" t="s">
        <v>41</v>
      </c>
      <c r="L26" s="7" t="s">
        <v>428</v>
      </c>
    </row>
    <row r="27" spans="1:12" s="16" customFormat="1" ht="42.5" x14ac:dyDescent="0.2">
      <c r="B27" s="169"/>
      <c r="C27" s="17" t="s">
        <v>122</v>
      </c>
      <c r="D27" s="28" t="s">
        <v>123</v>
      </c>
      <c r="E27" s="29" t="s">
        <v>124</v>
      </c>
      <c r="F27" s="30" t="s">
        <v>26</v>
      </c>
      <c r="G27" s="19" t="s">
        <v>66</v>
      </c>
      <c r="H27" s="6" t="s">
        <v>38</v>
      </c>
      <c r="I27" s="6" t="s">
        <v>39</v>
      </c>
      <c r="J27" s="6" t="s">
        <v>125</v>
      </c>
      <c r="K27" s="6" t="s">
        <v>41</v>
      </c>
      <c r="L27" s="7" t="s">
        <v>428</v>
      </c>
    </row>
    <row r="28" spans="1:12" x14ac:dyDescent="0.2">
      <c r="B28" s="31"/>
      <c r="C28" s="31"/>
      <c r="D28" s="32"/>
      <c r="E28" s="33"/>
      <c r="F28" s="34"/>
      <c r="G28" s="33"/>
      <c r="H28" s="35"/>
      <c r="I28" s="35"/>
      <c r="J28" s="36"/>
      <c r="K28" s="36"/>
      <c r="L28" s="35"/>
    </row>
    <row r="30" spans="1:12" x14ac:dyDescent="0.2">
      <c r="A30" s="14" t="s">
        <v>429</v>
      </c>
    </row>
    <row r="31" spans="1:12" x14ac:dyDescent="0.2">
      <c r="B31" s="206" t="s">
        <v>3</v>
      </c>
      <c r="C31" s="206"/>
      <c r="D31" s="206" t="s">
        <v>4</v>
      </c>
      <c r="E31" s="206"/>
      <c r="F31" s="15" t="s">
        <v>5</v>
      </c>
      <c r="G31" s="15" t="s">
        <v>6</v>
      </c>
      <c r="H31" s="206" t="s">
        <v>7</v>
      </c>
      <c r="I31" s="206"/>
      <c r="J31" s="206"/>
      <c r="K31" s="206" t="s">
        <v>8</v>
      </c>
      <c r="L31" s="206"/>
    </row>
    <row r="32" spans="1:12" x14ac:dyDescent="0.2">
      <c r="B32" s="207" t="s">
        <v>14</v>
      </c>
      <c r="C32" s="207"/>
      <c r="D32" s="207" t="s">
        <v>15</v>
      </c>
      <c r="E32" s="207"/>
      <c r="F32" s="37" t="s">
        <v>16</v>
      </c>
      <c r="G32" s="37" t="s">
        <v>17</v>
      </c>
      <c r="H32" s="207" t="s">
        <v>19</v>
      </c>
      <c r="I32" s="207"/>
      <c r="J32" s="207"/>
      <c r="K32" s="207" t="s">
        <v>22</v>
      </c>
      <c r="L32" s="207"/>
    </row>
    <row r="33" spans="2:12" s="16" customFormat="1" ht="33" customHeight="1" x14ac:dyDescent="0.2">
      <c r="B33" s="197" t="s">
        <v>127</v>
      </c>
      <c r="C33" s="198"/>
      <c r="D33" s="197" t="s">
        <v>128</v>
      </c>
      <c r="E33" s="198"/>
      <c r="F33" s="21" t="s">
        <v>26</v>
      </c>
      <c r="G33" s="18" t="s">
        <v>27</v>
      </c>
      <c r="H33" s="241" t="str">
        <f>'MPS(input_Option1)'!G33</f>
        <v>Cambodia's official forest map</v>
      </c>
      <c r="I33" s="241"/>
      <c r="J33" s="241"/>
      <c r="K33" s="242" t="str">
        <f>'MPS(input_Option1)'!J33</f>
        <v>Input on "MPS(input_RL_Opt1)" sheet</v>
      </c>
      <c r="L33" s="242"/>
    </row>
    <row r="34" spans="2:12" s="16" customFormat="1" ht="33.65" customHeight="1" x14ac:dyDescent="0.2">
      <c r="B34" s="194" t="s">
        <v>131</v>
      </c>
      <c r="C34" s="194"/>
      <c r="D34" s="194" t="s">
        <v>132</v>
      </c>
      <c r="E34" s="194"/>
      <c r="F34" s="21" t="s">
        <v>26</v>
      </c>
      <c r="G34" s="18" t="s">
        <v>27</v>
      </c>
      <c r="H34" s="241" t="str">
        <f>'MPS(input_Option1)'!G34</f>
        <v>Cambodia's official forest map</v>
      </c>
      <c r="I34" s="241"/>
      <c r="J34" s="241"/>
      <c r="K34" s="242" t="str">
        <f>'MPS(input_Option1)'!J34</f>
        <v>Input on "MPS(input_RL_Opt1)" sheet</v>
      </c>
      <c r="L34" s="242"/>
    </row>
    <row r="35" spans="2:12" s="16" customFormat="1" ht="33.65" customHeight="1" x14ac:dyDescent="0.2">
      <c r="B35" s="194" t="s">
        <v>133</v>
      </c>
      <c r="C35" s="194"/>
      <c r="D35" s="194" t="s">
        <v>134</v>
      </c>
      <c r="E35" s="194"/>
      <c r="F35" s="179" t="str">
        <f>'MPS(input_Option1)'!E34</f>
        <v>-</v>
      </c>
      <c r="G35" s="18" t="s">
        <v>135</v>
      </c>
      <c r="H35" s="241" t="str">
        <f>'MPS(input_Option1)'!G35</f>
        <v>Decided based on starting date of project operation and expected operational lifetime of project</v>
      </c>
      <c r="I35" s="241"/>
      <c r="J35" s="241"/>
      <c r="K35" s="242" t="str">
        <f>'MPS(input_Option1)'!J35</f>
        <v>Input on "MPS(input_RL_Opt1)" sheet</v>
      </c>
      <c r="L35" s="242"/>
    </row>
    <row r="36" spans="2:12" s="16" customFormat="1" ht="33.65" customHeight="1" x14ac:dyDescent="0.2">
      <c r="B36" s="194" t="s">
        <v>137</v>
      </c>
      <c r="C36" s="194"/>
      <c r="D36" s="194" t="s">
        <v>138</v>
      </c>
      <c r="E36" s="194"/>
      <c r="F36" s="179" t="str">
        <f>'MPS(input_Option1)'!E35</f>
        <v>-</v>
      </c>
      <c r="G36" s="18" t="s">
        <v>135</v>
      </c>
      <c r="H36" s="241" t="str">
        <f>'MPS(input_Option1)'!G36</f>
        <v>Automatically decided by number of year y</v>
      </c>
      <c r="I36" s="241"/>
      <c r="J36" s="241"/>
      <c r="K36" s="242" t="str">
        <f>'MPS(input_Option1)'!J36</f>
        <v>Input on "MPS(input_RL_Opt1)" sheet</v>
      </c>
      <c r="L36" s="242"/>
    </row>
    <row r="37" spans="2:12" s="16" customFormat="1" ht="30" customHeight="1" x14ac:dyDescent="0.2">
      <c r="B37" s="194" t="s">
        <v>140</v>
      </c>
      <c r="C37" s="194"/>
      <c r="D37" s="194" t="s">
        <v>141</v>
      </c>
      <c r="E37" s="194"/>
      <c r="F37" s="163">
        <f>'MPS(input_Option1)'!E37</f>
        <v>2.4899999999999999E-2</v>
      </c>
      <c r="G37" s="19" t="s">
        <v>111</v>
      </c>
      <c r="H37" s="241" t="str">
        <f>'MPS(input_Option1)'!G36</f>
        <v>Automatically decided by number of year y</v>
      </c>
      <c r="I37" s="241"/>
      <c r="J37" s="241"/>
      <c r="K37" s="242" t="str">
        <f>'MPS(input_Option1)'!J36</f>
        <v>Input on "MPS(input_RL_Opt1)" sheet</v>
      </c>
      <c r="L37" s="242"/>
    </row>
    <row r="38" spans="2:12" s="16" customFormat="1" ht="30" customHeight="1" x14ac:dyDescent="0.2">
      <c r="B38" s="194" t="s">
        <v>143</v>
      </c>
      <c r="C38" s="194"/>
      <c r="D38" s="194" t="s">
        <v>144</v>
      </c>
      <c r="E38" s="194"/>
      <c r="F38" s="163">
        <f>'MPS(input_Option1)'!E38</f>
        <v>3.09E-2</v>
      </c>
      <c r="G38" s="19" t="s">
        <v>111</v>
      </c>
      <c r="H38" s="241" t="str">
        <f>'MPS(input_Option1)'!G38</f>
        <v>Cambodia’s official forest reference level (FRL)</v>
      </c>
      <c r="I38" s="241"/>
      <c r="J38" s="241"/>
      <c r="K38" s="242">
        <f>'MPS(input_Option1)'!J38</f>
        <v>0</v>
      </c>
      <c r="L38" s="242"/>
    </row>
    <row r="39" spans="2:12" s="16" customFormat="1" ht="30" customHeight="1" x14ac:dyDescent="0.2">
      <c r="B39" s="194" t="s">
        <v>145</v>
      </c>
      <c r="C39" s="194"/>
      <c r="D39" s="194" t="s">
        <v>146</v>
      </c>
      <c r="E39" s="194"/>
      <c r="F39" s="163">
        <f>'MPS(input_Option1)'!E39</f>
        <v>0</v>
      </c>
      <c r="G39" s="19" t="s">
        <v>111</v>
      </c>
      <c r="H39" s="241" t="str">
        <f>'MPS(input_Option1)'!G39</f>
        <v>Cambodia’s official forest reference level (FRL)</v>
      </c>
      <c r="I39" s="241"/>
      <c r="J39" s="241"/>
      <c r="K39" s="242">
        <f>'MPS(input_Option1)'!J39</f>
        <v>0</v>
      </c>
      <c r="L39" s="242"/>
    </row>
    <row r="40" spans="2:12" s="16" customFormat="1" ht="30" customHeight="1" x14ac:dyDescent="0.2">
      <c r="B40" s="194" t="s">
        <v>147</v>
      </c>
      <c r="C40" s="194"/>
      <c r="D40" s="194" t="s">
        <v>148</v>
      </c>
      <c r="E40" s="194"/>
      <c r="F40" s="163">
        <f>'MPS(input_Option1)'!E40</f>
        <v>3.4500000000000003E-2</v>
      </c>
      <c r="G40" s="19" t="s">
        <v>111</v>
      </c>
      <c r="H40" s="241" t="str">
        <f>'MPS(input_Option1)'!G40</f>
        <v>Cambodia’s official forest reference level (FRL)</v>
      </c>
      <c r="I40" s="241"/>
      <c r="J40" s="241"/>
      <c r="K40" s="242">
        <f>'MPS(input_Option1)'!J40</f>
        <v>0</v>
      </c>
      <c r="L40" s="242"/>
    </row>
    <row r="41" spans="2:12" s="16" customFormat="1" ht="30" customHeight="1" x14ac:dyDescent="0.2">
      <c r="B41" s="194" t="s">
        <v>149</v>
      </c>
      <c r="C41" s="194"/>
      <c r="D41" s="194" t="s">
        <v>150</v>
      </c>
      <c r="E41" s="194"/>
      <c r="F41" s="163">
        <f>'MPS(input_Option1)'!E41</f>
        <v>1.41E-2</v>
      </c>
      <c r="G41" s="19" t="s">
        <v>111</v>
      </c>
      <c r="H41" s="241" t="str">
        <f>'MPS(input_Option1)'!G41</f>
        <v>Cambodia’s official forest reference level (FRL)</v>
      </c>
      <c r="I41" s="241"/>
      <c r="J41" s="241"/>
      <c r="K41" s="242">
        <f>'MPS(input_Option1)'!J41</f>
        <v>0</v>
      </c>
      <c r="L41" s="242"/>
    </row>
    <row r="42" spans="2:12" s="16" customFormat="1" ht="30" customHeight="1" x14ac:dyDescent="0.2">
      <c r="B42" s="194" t="s">
        <v>151</v>
      </c>
      <c r="C42" s="194"/>
      <c r="D42" s="194" t="s">
        <v>152</v>
      </c>
      <c r="E42" s="194"/>
      <c r="F42" s="163">
        <f>'MPS(input_Option1)'!E42</f>
        <v>0.01</v>
      </c>
      <c r="G42" s="19" t="s">
        <v>111</v>
      </c>
      <c r="H42" s="241" t="str">
        <f>'MPS(input_Option1)'!G42</f>
        <v>Cambodia’s official forest reference level (FRL)</v>
      </c>
      <c r="I42" s="241"/>
      <c r="J42" s="241"/>
      <c r="K42" s="242">
        <f>'MPS(input_Option1)'!J42</f>
        <v>0</v>
      </c>
      <c r="L42" s="242"/>
    </row>
    <row r="43" spans="2:12" s="16" customFormat="1" ht="30" customHeight="1" x14ac:dyDescent="0.2">
      <c r="B43" s="194" t="s">
        <v>153</v>
      </c>
      <c r="C43" s="194"/>
      <c r="D43" s="194" t="s">
        <v>154</v>
      </c>
      <c r="E43" s="194"/>
      <c r="F43" s="163">
        <f>'MPS(input_Option1)'!E43</f>
        <v>4.1700000000000001E-2</v>
      </c>
      <c r="G43" s="19" t="s">
        <v>111</v>
      </c>
      <c r="H43" s="241" t="str">
        <f>'MPS(input_Option1)'!G43</f>
        <v>Cambodia’s official forest reference level (FRL)</v>
      </c>
      <c r="I43" s="241"/>
      <c r="J43" s="241"/>
      <c r="K43" s="242">
        <f>'MPS(input_Option1)'!J43</f>
        <v>0</v>
      </c>
      <c r="L43" s="242"/>
    </row>
    <row r="44" spans="2:12" s="16" customFormat="1" ht="30" customHeight="1" x14ac:dyDescent="0.2">
      <c r="B44" s="194" t="s">
        <v>155</v>
      </c>
      <c r="C44" s="194"/>
      <c r="D44" s="194" t="s">
        <v>156</v>
      </c>
      <c r="E44" s="194"/>
      <c r="F44" s="163">
        <f>'MPS(input_Option1)'!E44</f>
        <v>5.0599999999999999E-2</v>
      </c>
      <c r="G44" s="19" t="s">
        <v>111</v>
      </c>
      <c r="H44" s="241" t="str">
        <f>'MPS(input_Option1)'!G44</f>
        <v>Cambodia’s official forest reference level (FRL)</v>
      </c>
      <c r="I44" s="241"/>
      <c r="J44" s="241"/>
      <c r="K44" s="242">
        <f>'MPS(input_Option1)'!J44</f>
        <v>0</v>
      </c>
      <c r="L44" s="242"/>
    </row>
    <row r="45" spans="2:12" s="16" customFormat="1" ht="30" customHeight="1" x14ac:dyDescent="0.2">
      <c r="B45" s="194" t="s">
        <v>157</v>
      </c>
      <c r="C45" s="194"/>
      <c r="D45" s="194" t="s">
        <v>158</v>
      </c>
      <c r="E45" s="194"/>
      <c r="F45" s="163">
        <f>'MPS(input_Option1)'!E45</f>
        <v>9.7199999999999995E-2</v>
      </c>
      <c r="G45" s="19" t="s">
        <v>111</v>
      </c>
      <c r="H45" s="241" t="str">
        <f>'MPS(input_Option1)'!G45</f>
        <v>Cambodia’s official forest reference level (FRL)</v>
      </c>
      <c r="I45" s="241"/>
      <c r="J45" s="241"/>
      <c r="K45" s="242">
        <f>'MPS(input_Option1)'!J45</f>
        <v>0</v>
      </c>
      <c r="L45" s="242"/>
    </row>
    <row r="46" spans="2:12" s="16" customFormat="1" ht="30" customHeight="1" x14ac:dyDescent="0.2">
      <c r="B46" s="194" t="s">
        <v>159</v>
      </c>
      <c r="C46" s="194"/>
      <c r="D46" s="194" t="s">
        <v>160</v>
      </c>
      <c r="E46" s="194"/>
      <c r="F46" s="163">
        <f>'MPS(input_Option1)'!E46</f>
        <v>0.1169</v>
      </c>
      <c r="G46" s="19" t="s">
        <v>111</v>
      </c>
      <c r="H46" s="241" t="str">
        <f>'MPS(input_Option1)'!G46</f>
        <v>Cambodia’s official forest reference level (FRL)</v>
      </c>
      <c r="I46" s="241"/>
      <c r="J46" s="241"/>
      <c r="K46" s="242">
        <f>'MPS(input_Option1)'!J46</f>
        <v>0</v>
      </c>
      <c r="L46" s="242"/>
    </row>
    <row r="47" spans="2:12" s="16" customFormat="1" ht="30" customHeight="1" x14ac:dyDescent="0.2">
      <c r="B47" s="194" t="s">
        <v>161</v>
      </c>
      <c r="C47" s="194"/>
      <c r="D47" s="194" t="s">
        <v>162</v>
      </c>
      <c r="E47" s="194"/>
      <c r="F47" s="163">
        <f>'MPS(input_Option1)'!E47</f>
        <v>0</v>
      </c>
      <c r="G47" s="19" t="s">
        <v>111</v>
      </c>
      <c r="H47" s="241" t="str">
        <f>'MPS(input_Option1)'!G47</f>
        <v>Cambodia’s official forest reference level (FRL)</v>
      </c>
      <c r="I47" s="241"/>
      <c r="J47" s="241"/>
      <c r="K47" s="242">
        <f>'MPS(input_Option1)'!J47</f>
        <v>0</v>
      </c>
      <c r="L47" s="242"/>
    </row>
    <row r="48" spans="2:12" s="16" customFormat="1" ht="30" customHeight="1" x14ac:dyDescent="0.2">
      <c r="B48" s="194" t="s">
        <v>163</v>
      </c>
      <c r="C48" s="194"/>
      <c r="D48" s="194" t="s">
        <v>164</v>
      </c>
      <c r="E48" s="194"/>
      <c r="F48" s="163">
        <f>'MPS(input_Option1)'!E48</f>
        <v>2.4899999999999999E-2</v>
      </c>
      <c r="G48" s="19" t="s">
        <v>111</v>
      </c>
      <c r="H48" s="241" t="str">
        <f>'MPS(input_Option1)'!G48</f>
        <v>Cambodia's official forest maps</v>
      </c>
      <c r="I48" s="241"/>
      <c r="J48" s="241"/>
      <c r="K48" s="242">
        <f>'MPS(input_Option1)'!J48</f>
        <v>0</v>
      </c>
      <c r="L48" s="242"/>
    </row>
    <row r="49" spans="2:12" s="16" customFormat="1" ht="30" customHeight="1" x14ac:dyDescent="0.2">
      <c r="B49" s="194" t="s">
        <v>166</v>
      </c>
      <c r="C49" s="194"/>
      <c r="D49" s="194" t="s">
        <v>167</v>
      </c>
      <c r="E49" s="194"/>
      <c r="F49" s="163">
        <f>'MPS(input_Option1)'!E49</f>
        <v>3.09E-2</v>
      </c>
      <c r="G49" s="19" t="s">
        <v>111</v>
      </c>
      <c r="H49" s="241" t="str">
        <f>'MPS(input_Option1)'!G49</f>
        <v>Cambodia's official forest maps</v>
      </c>
      <c r="I49" s="241"/>
      <c r="J49" s="241"/>
      <c r="K49" s="242">
        <f>'MPS(input_Option1)'!J49</f>
        <v>0</v>
      </c>
      <c r="L49" s="242"/>
    </row>
    <row r="50" spans="2:12" s="16" customFormat="1" ht="30" customHeight="1" x14ac:dyDescent="0.2">
      <c r="B50" s="194" t="s">
        <v>168</v>
      </c>
      <c r="C50" s="194"/>
      <c r="D50" s="194" t="s">
        <v>169</v>
      </c>
      <c r="E50" s="194"/>
      <c r="F50" s="163">
        <f>'MPS(input_Option1)'!E50</f>
        <v>0</v>
      </c>
      <c r="G50" s="19" t="s">
        <v>111</v>
      </c>
      <c r="H50" s="241" t="str">
        <f>'MPS(input_Option1)'!G50</f>
        <v>Cambodia's official forest maps</v>
      </c>
      <c r="I50" s="241"/>
      <c r="J50" s="241"/>
      <c r="K50" s="242">
        <f>'MPS(input_Option1)'!J50</f>
        <v>0</v>
      </c>
      <c r="L50" s="242"/>
    </row>
    <row r="51" spans="2:12" s="16" customFormat="1" ht="30" customHeight="1" x14ac:dyDescent="0.2">
      <c r="B51" s="194" t="s">
        <v>170</v>
      </c>
      <c r="C51" s="194"/>
      <c r="D51" s="194" t="s">
        <v>171</v>
      </c>
      <c r="E51" s="194"/>
      <c r="F51" s="163">
        <f>'MPS(input_Option1)'!E51</f>
        <v>3.4500000000000003E-2</v>
      </c>
      <c r="G51" s="19" t="s">
        <v>111</v>
      </c>
      <c r="H51" s="241" t="str">
        <f>'MPS(input_Option1)'!G51</f>
        <v>Cambodia's official forest maps</v>
      </c>
      <c r="I51" s="241"/>
      <c r="J51" s="241"/>
      <c r="K51" s="242">
        <f>'MPS(input_Option1)'!J51</f>
        <v>0</v>
      </c>
      <c r="L51" s="242"/>
    </row>
    <row r="52" spans="2:12" s="16" customFormat="1" ht="30" customHeight="1" x14ac:dyDescent="0.2">
      <c r="B52" s="194" t="s">
        <v>172</v>
      </c>
      <c r="C52" s="194"/>
      <c r="D52" s="194" t="s">
        <v>173</v>
      </c>
      <c r="E52" s="194"/>
      <c r="F52" s="163">
        <f>'MPS(input_Option1)'!E52</f>
        <v>1.41E-2</v>
      </c>
      <c r="G52" s="19" t="s">
        <v>111</v>
      </c>
      <c r="H52" s="241" t="str">
        <f>'MPS(input_Option1)'!G52</f>
        <v>Cambodia's official forest maps</v>
      </c>
      <c r="I52" s="241"/>
      <c r="J52" s="241"/>
      <c r="K52" s="242">
        <f>'MPS(input_Option1)'!J52</f>
        <v>0</v>
      </c>
      <c r="L52" s="242"/>
    </row>
    <row r="53" spans="2:12" s="16" customFormat="1" ht="30" customHeight="1" x14ac:dyDescent="0.2">
      <c r="B53" s="194" t="s">
        <v>174</v>
      </c>
      <c r="C53" s="194"/>
      <c r="D53" s="194" t="s">
        <v>175</v>
      </c>
      <c r="E53" s="194"/>
      <c r="F53" s="163">
        <f>'MPS(input_Option1)'!E53</f>
        <v>0.01</v>
      </c>
      <c r="G53" s="19" t="s">
        <v>111</v>
      </c>
      <c r="H53" s="241" t="str">
        <f>'MPS(input_Option1)'!G53</f>
        <v>Cambodia's official forest maps</v>
      </c>
      <c r="I53" s="241"/>
      <c r="J53" s="241"/>
      <c r="K53" s="242">
        <f>'MPS(input_Option1)'!J53</f>
        <v>0</v>
      </c>
      <c r="L53" s="242"/>
    </row>
    <row r="54" spans="2:12" s="16" customFormat="1" ht="30" customHeight="1" x14ac:dyDescent="0.2">
      <c r="B54" s="194" t="s">
        <v>176</v>
      </c>
      <c r="C54" s="194"/>
      <c r="D54" s="194" t="s">
        <v>177</v>
      </c>
      <c r="E54" s="194"/>
      <c r="F54" s="163">
        <f>'MPS(input_Option1)'!E54</f>
        <v>4.1700000000000001E-2</v>
      </c>
      <c r="G54" s="19" t="s">
        <v>111</v>
      </c>
      <c r="H54" s="241" t="str">
        <f>'MPS(input_Option1)'!G54</f>
        <v>Cambodia's official forest maps</v>
      </c>
      <c r="I54" s="241"/>
      <c r="J54" s="241"/>
      <c r="K54" s="242">
        <f>'MPS(input_Option1)'!J54</f>
        <v>0</v>
      </c>
      <c r="L54" s="242"/>
    </row>
    <row r="55" spans="2:12" s="16" customFormat="1" ht="30" customHeight="1" x14ac:dyDescent="0.2">
      <c r="B55" s="194" t="s">
        <v>178</v>
      </c>
      <c r="C55" s="194"/>
      <c r="D55" s="194" t="s">
        <v>179</v>
      </c>
      <c r="E55" s="194"/>
      <c r="F55" s="163">
        <f>'MPS(input_Option1)'!E55</f>
        <v>5.0599999999999999E-2</v>
      </c>
      <c r="G55" s="19" t="s">
        <v>111</v>
      </c>
      <c r="H55" s="241" t="str">
        <f>'MPS(input_Option1)'!G55</f>
        <v>Cambodia's official forest maps</v>
      </c>
      <c r="I55" s="241"/>
      <c r="J55" s="241"/>
      <c r="K55" s="242">
        <f>'MPS(input_Option1)'!J55</f>
        <v>0</v>
      </c>
      <c r="L55" s="242"/>
    </row>
    <row r="56" spans="2:12" s="16" customFormat="1" ht="30" customHeight="1" x14ac:dyDescent="0.2">
      <c r="B56" s="194" t="s">
        <v>180</v>
      </c>
      <c r="C56" s="194"/>
      <c r="D56" s="194" t="s">
        <v>181</v>
      </c>
      <c r="E56" s="194"/>
      <c r="F56" s="163">
        <f>'MPS(input_Option1)'!E56</f>
        <v>9.7199999999999995E-2</v>
      </c>
      <c r="G56" s="19" t="s">
        <v>111</v>
      </c>
      <c r="H56" s="241" t="str">
        <f>'MPS(input_Option1)'!G56</f>
        <v>Cambodia's official forest maps</v>
      </c>
      <c r="I56" s="241"/>
      <c r="J56" s="241"/>
      <c r="K56" s="242">
        <f>'MPS(input_Option1)'!J56</f>
        <v>0</v>
      </c>
      <c r="L56" s="242"/>
    </row>
    <row r="57" spans="2:12" s="16" customFormat="1" ht="30" customHeight="1" x14ac:dyDescent="0.2">
      <c r="B57" s="194" t="s">
        <v>182</v>
      </c>
      <c r="C57" s="194"/>
      <c r="D57" s="194" t="s">
        <v>183</v>
      </c>
      <c r="E57" s="194"/>
      <c r="F57" s="163">
        <f>'MPS(input_Option1)'!E57</f>
        <v>0.1169</v>
      </c>
      <c r="G57" s="19" t="s">
        <v>111</v>
      </c>
      <c r="H57" s="241" t="str">
        <f>'MPS(input_Option1)'!G57</f>
        <v>Cambodia's official forest maps</v>
      </c>
      <c r="I57" s="241"/>
      <c r="J57" s="241"/>
      <c r="K57" s="242">
        <f>'MPS(input_Option1)'!J57</f>
        <v>0</v>
      </c>
      <c r="L57" s="242"/>
    </row>
    <row r="58" spans="2:12" s="16" customFormat="1" ht="30" customHeight="1" x14ac:dyDescent="0.2">
      <c r="B58" s="194" t="s">
        <v>184</v>
      </c>
      <c r="C58" s="194"/>
      <c r="D58" s="194" t="s">
        <v>185</v>
      </c>
      <c r="E58" s="194"/>
      <c r="F58" s="163">
        <f>'MPS(input_Option1)'!E58</f>
        <v>0</v>
      </c>
      <c r="G58" s="19" t="s">
        <v>111</v>
      </c>
      <c r="H58" s="241" t="str">
        <f>'MPS(input_Option1)'!G58</f>
        <v>Cambodia's official forest maps</v>
      </c>
      <c r="I58" s="241"/>
      <c r="J58" s="241"/>
      <c r="K58" s="242">
        <f>'MPS(input_Option1)'!J58</f>
        <v>0</v>
      </c>
      <c r="L58" s="242"/>
    </row>
    <row r="59" spans="2:12" s="16" customFormat="1" ht="16.5" customHeight="1" x14ac:dyDescent="0.2">
      <c r="B59" s="194" t="s">
        <v>186</v>
      </c>
      <c r="C59" s="194"/>
      <c r="D59" s="194" t="s">
        <v>187</v>
      </c>
      <c r="E59" s="194"/>
      <c r="F59" s="163">
        <f>'MPS(input_Option1)'!E59</f>
        <v>91.3</v>
      </c>
      <c r="G59" s="18" t="s">
        <v>188</v>
      </c>
      <c r="H59" s="241" t="str">
        <f>'MPS(input_Option1)'!G59</f>
        <v>Cambodia’s official forest reference level (FRL)</v>
      </c>
      <c r="I59" s="241"/>
      <c r="J59" s="241"/>
      <c r="K59" s="242">
        <f>'MPS(input_Option1)'!J59</f>
        <v>0</v>
      </c>
      <c r="L59" s="242"/>
    </row>
    <row r="60" spans="2:12" s="16" customFormat="1" ht="16.5" customHeight="1" x14ac:dyDescent="0.2">
      <c r="B60" s="194" t="s">
        <v>189</v>
      </c>
      <c r="C60" s="194"/>
      <c r="D60" s="194" t="s">
        <v>190</v>
      </c>
      <c r="E60" s="194"/>
      <c r="F60" s="163">
        <f>'MPS(input_Option1)'!E60</f>
        <v>135.11000000000001</v>
      </c>
      <c r="G60" s="18" t="s">
        <v>188</v>
      </c>
      <c r="H60" s="241" t="str">
        <f>'MPS(input_Option1)'!G60</f>
        <v>Cambodia’s official forest reference level (FRL)</v>
      </c>
      <c r="I60" s="241"/>
      <c r="J60" s="241"/>
      <c r="K60" s="242">
        <f>'MPS(input_Option1)'!J60</f>
        <v>0</v>
      </c>
      <c r="L60" s="242"/>
    </row>
    <row r="61" spans="2:12" s="16" customFormat="1" ht="16.5" customHeight="1" x14ac:dyDescent="0.2">
      <c r="B61" s="194" t="s">
        <v>191</v>
      </c>
      <c r="C61" s="194"/>
      <c r="D61" s="194" t="s">
        <v>192</v>
      </c>
      <c r="E61" s="194"/>
      <c r="F61" s="163">
        <f>'MPS(input_Option1)'!E61</f>
        <v>56.54</v>
      </c>
      <c r="G61" s="18" t="s">
        <v>188</v>
      </c>
      <c r="H61" s="241" t="str">
        <f>'MPS(input_Option1)'!G61</f>
        <v>Cambodia’s official forest reference level (FRL)</v>
      </c>
      <c r="I61" s="241"/>
      <c r="J61" s="241"/>
      <c r="K61" s="242">
        <f>'MPS(input_Option1)'!J61</f>
        <v>0</v>
      </c>
      <c r="L61" s="242"/>
    </row>
    <row r="62" spans="2:12" s="16" customFormat="1" ht="16.5" customHeight="1" x14ac:dyDescent="0.2">
      <c r="B62" s="194" t="s">
        <v>193</v>
      </c>
      <c r="C62" s="194"/>
      <c r="D62" s="194" t="s">
        <v>194</v>
      </c>
      <c r="E62" s="194"/>
      <c r="F62" s="163">
        <f>'MPS(input_Option1)'!E62</f>
        <v>48.21</v>
      </c>
      <c r="G62" s="18" t="s">
        <v>188</v>
      </c>
      <c r="H62" s="241" t="str">
        <f>'MPS(input_Option1)'!G62</f>
        <v>Cambodia’s official forest reference level (FRL)</v>
      </c>
      <c r="I62" s="241"/>
      <c r="J62" s="241"/>
      <c r="K62" s="242">
        <f>'MPS(input_Option1)'!J62</f>
        <v>0</v>
      </c>
      <c r="L62" s="242"/>
    </row>
    <row r="63" spans="2:12" s="16" customFormat="1" ht="16.5" customHeight="1" x14ac:dyDescent="0.2">
      <c r="B63" s="194" t="s">
        <v>195</v>
      </c>
      <c r="C63" s="194"/>
      <c r="D63" s="194" t="s">
        <v>196</v>
      </c>
      <c r="E63" s="194"/>
      <c r="F63" s="163">
        <f>'MPS(input_Option1)'!E63</f>
        <v>0</v>
      </c>
      <c r="G63" s="18" t="s">
        <v>188</v>
      </c>
      <c r="H63" s="241" t="str">
        <f>'MPS(input_Option1)'!G63</f>
        <v>Cambodia’s official forest reference level (FRL)</v>
      </c>
      <c r="I63" s="241"/>
      <c r="J63" s="241"/>
      <c r="K63" s="242">
        <f>'MPS(input_Option1)'!J63</f>
        <v>0</v>
      </c>
      <c r="L63" s="242"/>
    </row>
    <row r="64" spans="2:12" s="16" customFormat="1" ht="16.5" customHeight="1" x14ac:dyDescent="0.2">
      <c r="B64" s="194" t="s">
        <v>197</v>
      </c>
      <c r="C64" s="194"/>
      <c r="D64" s="194" t="s">
        <v>198</v>
      </c>
      <c r="E64" s="194"/>
      <c r="F64" s="163">
        <f>'MPS(input_Option1)'!E64</f>
        <v>84.15</v>
      </c>
      <c r="G64" s="18" t="s">
        <v>188</v>
      </c>
      <c r="H64" s="241" t="str">
        <f>'MPS(input_Option1)'!G64</f>
        <v>Cambodia’s official forest reference level (FRL)</v>
      </c>
      <c r="I64" s="241"/>
      <c r="J64" s="241"/>
      <c r="K64" s="242">
        <f>'MPS(input_Option1)'!J64</f>
        <v>0</v>
      </c>
      <c r="L64" s="242"/>
    </row>
    <row r="65" spans="1:12" s="16" customFormat="1" ht="16.5" customHeight="1" x14ac:dyDescent="0.2">
      <c r="B65" s="194" t="s">
        <v>199</v>
      </c>
      <c r="C65" s="194"/>
      <c r="D65" s="194" t="s">
        <v>200</v>
      </c>
      <c r="E65" s="194"/>
      <c r="F65" s="163">
        <f>'MPS(input_Option1)'!E65</f>
        <v>92.4</v>
      </c>
      <c r="G65" s="18" t="s">
        <v>188</v>
      </c>
      <c r="H65" s="241" t="str">
        <f>'MPS(input_Option1)'!G65</f>
        <v>Cambodia’s official forest reference level (FRL)</v>
      </c>
      <c r="I65" s="241"/>
      <c r="J65" s="241"/>
      <c r="K65" s="242">
        <f>'MPS(input_Option1)'!J65</f>
        <v>0</v>
      </c>
      <c r="L65" s="242"/>
    </row>
    <row r="66" spans="1:12" s="16" customFormat="1" ht="16.5" customHeight="1" x14ac:dyDescent="0.2">
      <c r="B66" s="194" t="s">
        <v>201</v>
      </c>
      <c r="C66" s="194"/>
      <c r="D66" s="194" t="s">
        <v>202</v>
      </c>
      <c r="E66" s="194"/>
      <c r="F66" s="163">
        <f>'MPS(input_Option1)'!E66</f>
        <v>39.86</v>
      </c>
      <c r="G66" s="18" t="s">
        <v>188</v>
      </c>
      <c r="H66" s="241" t="str">
        <f>'MPS(input_Option1)'!G66</f>
        <v>Cambodia’s official forest reference level (FRL)</v>
      </c>
      <c r="I66" s="241"/>
      <c r="J66" s="241"/>
      <c r="K66" s="242">
        <f>'MPS(input_Option1)'!J66</f>
        <v>0</v>
      </c>
      <c r="L66" s="242"/>
    </row>
    <row r="67" spans="1:12" s="16" customFormat="1" ht="16.5" customHeight="1" x14ac:dyDescent="0.2">
      <c r="B67" s="194" t="s">
        <v>203</v>
      </c>
      <c r="C67" s="194"/>
      <c r="D67" s="194" t="s">
        <v>204</v>
      </c>
      <c r="E67" s="194"/>
      <c r="F67" s="163">
        <f>'MPS(input_Option1)'!E67</f>
        <v>42.65</v>
      </c>
      <c r="G67" s="18" t="s">
        <v>188</v>
      </c>
      <c r="H67" s="241" t="str">
        <f>'MPS(input_Option1)'!G67</f>
        <v>Cambodia’s official forest reference level (FRL)</v>
      </c>
      <c r="I67" s="241"/>
      <c r="J67" s="241"/>
      <c r="K67" s="242">
        <f>'MPS(input_Option1)'!J67</f>
        <v>0</v>
      </c>
      <c r="L67" s="242"/>
    </row>
    <row r="68" spans="1:12" s="16" customFormat="1" ht="16.5" customHeight="1" x14ac:dyDescent="0.2">
      <c r="B68" s="194" t="s">
        <v>205</v>
      </c>
      <c r="C68" s="194"/>
      <c r="D68" s="194" t="s">
        <v>206</v>
      </c>
      <c r="E68" s="194"/>
      <c r="F68" s="163">
        <f>'MPS(input_Option1)'!E68</f>
        <v>56.54</v>
      </c>
      <c r="G68" s="18" t="s">
        <v>188</v>
      </c>
      <c r="H68" s="241" t="str">
        <f>'MPS(input_Option1)'!G68</f>
        <v>Cambodia’s official forest reference level (FRL)</v>
      </c>
      <c r="I68" s="241"/>
      <c r="J68" s="241"/>
      <c r="K68" s="242">
        <f>'MPS(input_Option1)'!J68</f>
        <v>0</v>
      </c>
      <c r="L68" s="242"/>
    </row>
    <row r="69" spans="1:12" s="16" customFormat="1" ht="16.5" customHeight="1" x14ac:dyDescent="0.2">
      <c r="B69" s="194" t="s">
        <v>207</v>
      </c>
      <c r="C69" s="194"/>
      <c r="D69" s="194" t="s">
        <v>208</v>
      </c>
      <c r="E69" s="194"/>
      <c r="F69" s="163">
        <f>'MPS(input_Option1)'!E69</f>
        <v>56.54</v>
      </c>
      <c r="G69" s="18" t="s">
        <v>188</v>
      </c>
      <c r="H69" s="241" t="str">
        <f>'MPS(input_Option1)'!G69</f>
        <v>Cambodia’s official forest reference level (FRL)</v>
      </c>
      <c r="I69" s="241"/>
      <c r="J69" s="241"/>
      <c r="K69" s="242">
        <f>'MPS(input_Option1)'!J69</f>
        <v>0</v>
      </c>
      <c r="L69" s="242"/>
    </row>
    <row r="70" spans="1:12" s="16" customFormat="1" ht="16.5" customHeight="1" x14ac:dyDescent="0.2">
      <c r="B70" s="194" t="s">
        <v>209</v>
      </c>
      <c r="C70" s="194"/>
      <c r="D70" s="194" t="s">
        <v>210</v>
      </c>
      <c r="E70" s="194"/>
      <c r="F70" s="21" t="s">
        <v>26</v>
      </c>
      <c r="G70" s="19" t="s">
        <v>211</v>
      </c>
      <c r="H70" s="241" t="str">
        <f>'MPS(input_Option1)'!G70</f>
        <v>2006 IPCC Guidelines Tables 1.2</v>
      </c>
      <c r="I70" s="241"/>
      <c r="J70" s="241"/>
      <c r="K70" s="242" t="str">
        <f>'MPS(input_Option1)'!J70</f>
        <v>Input on "MPS(input_PJ_Opt1)" sheet</v>
      </c>
      <c r="L70" s="242"/>
    </row>
    <row r="71" spans="1:12" s="16" customFormat="1" ht="16.5" customHeight="1" x14ac:dyDescent="0.2">
      <c r="B71" s="194" t="s">
        <v>213</v>
      </c>
      <c r="C71" s="194"/>
      <c r="D71" s="194" t="s">
        <v>214</v>
      </c>
      <c r="E71" s="194"/>
      <c r="F71" s="21" t="s">
        <v>26</v>
      </c>
      <c r="G71" s="18" t="s">
        <v>215</v>
      </c>
      <c r="H71" s="241" t="str">
        <f>'MPS(input_Option1)'!G71</f>
        <v>2006 IPCC Guidelines Tables 2.5 and 3.2.1</v>
      </c>
      <c r="I71" s="241"/>
      <c r="J71" s="241"/>
      <c r="K71" s="242" t="str">
        <f>'MPS(input_Option1)'!J71</f>
        <v>Input on "MPS(input_PJ_Opt1)" sheet</v>
      </c>
      <c r="L71" s="242"/>
    </row>
    <row r="73" spans="1:12" ht="17" x14ac:dyDescent="0.2">
      <c r="A73" s="14" t="s">
        <v>430</v>
      </c>
      <c r="B73" s="14"/>
      <c r="C73" s="14"/>
    </row>
    <row r="74" spans="1:12" ht="14.4" customHeight="1" thickBot="1" x14ac:dyDescent="0.25">
      <c r="B74" s="15" t="s">
        <v>426</v>
      </c>
      <c r="C74" s="208" t="s">
        <v>218</v>
      </c>
      <c r="D74" s="209"/>
      <c r="E74" s="210"/>
      <c r="F74" s="15" t="s">
        <v>17</v>
      </c>
    </row>
    <row r="75" spans="1:12" ht="16.5" thickBot="1" x14ac:dyDescent="0.25">
      <c r="B75" s="170"/>
      <c r="C75" s="199" t="s">
        <v>219</v>
      </c>
      <c r="D75" s="200"/>
      <c r="E75" s="38">
        <f>SUM(E76:E87)</f>
        <v>0</v>
      </c>
      <c r="F75" s="39" t="s">
        <v>220</v>
      </c>
    </row>
    <row r="76" spans="1:12" ht="16.5" thickBot="1" x14ac:dyDescent="0.25">
      <c r="B76" s="170"/>
      <c r="C76" s="18" t="s">
        <v>221</v>
      </c>
      <c r="D76" s="40">
        <f>'MRS(input_RL_Opt1)'!B8</f>
        <v>2018</v>
      </c>
      <c r="E76" s="38">
        <f>ROUNDDOWN('MRS(calc_process_Option1)'!F8,0)</f>
        <v>0</v>
      </c>
      <c r="F76" s="39" t="s">
        <v>222</v>
      </c>
    </row>
    <row r="77" spans="1:12" ht="16.5" thickBot="1" x14ac:dyDescent="0.25">
      <c r="B77" s="170"/>
      <c r="C77" s="18"/>
      <c r="D77" s="40">
        <f>D76+1</f>
        <v>2019</v>
      </c>
      <c r="E77" s="38">
        <f>ROUNDDOWN('MRS(calc_process_Option1)'!F9,0)</f>
        <v>0</v>
      </c>
      <c r="F77" s="39" t="s">
        <v>222</v>
      </c>
    </row>
    <row r="78" spans="1:12" ht="16.5" thickBot="1" x14ac:dyDescent="0.25">
      <c r="B78" s="170"/>
      <c r="C78" s="18"/>
      <c r="D78" s="40">
        <f t="shared" ref="D78:D87" si="0">D77+1</f>
        <v>2020</v>
      </c>
      <c r="E78" s="38">
        <f>ROUNDDOWN('MRS(calc_process_Option1)'!F10,0)</f>
        <v>0</v>
      </c>
      <c r="F78" s="39" t="s">
        <v>222</v>
      </c>
    </row>
    <row r="79" spans="1:12" ht="16.5" thickBot="1" x14ac:dyDescent="0.25">
      <c r="B79" s="170"/>
      <c r="C79" s="18"/>
      <c r="D79" s="40">
        <f t="shared" si="0"/>
        <v>2021</v>
      </c>
      <c r="E79" s="38">
        <f>ROUNDDOWN('MRS(calc_process_Option1)'!F11,0)</f>
        <v>0</v>
      </c>
      <c r="F79" s="39" t="s">
        <v>222</v>
      </c>
    </row>
    <row r="80" spans="1:12" ht="16.5" thickBot="1" x14ac:dyDescent="0.25">
      <c r="B80" s="170"/>
      <c r="C80" s="18"/>
      <c r="D80" s="40">
        <f t="shared" si="0"/>
        <v>2022</v>
      </c>
      <c r="E80" s="38">
        <f>ROUNDDOWN('MRS(calc_process_Option1)'!F12,0)</f>
        <v>0</v>
      </c>
      <c r="F80" s="39" t="s">
        <v>222</v>
      </c>
    </row>
    <row r="81" spans="1:11" ht="16.5" thickBot="1" x14ac:dyDescent="0.25">
      <c r="B81" s="170"/>
      <c r="C81" s="18"/>
      <c r="D81" s="40">
        <f t="shared" si="0"/>
        <v>2023</v>
      </c>
      <c r="E81" s="38">
        <f>ROUNDDOWN('MRS(calc_process_Option1)'!F13,0)</f>
        <v>0</v>
      </c>
      <c r="F81" s="39" t="s">
        <v>222</v>
      </c>
    </row>
    <row r="82" spans="1:11" ht="16.5" thickBot="1" x14ac:dyDescent="0.25">
      <c r="B82" s="170"/>
      <c r="C82" s="18"/>
      <c r="D82" s="40">
        <f t="shared" si="0"/>
        <v>2024</v>
      </c>
      <c r="E82" s="38">
        <f>ROUNDDOWN('MRS(calc_process_Option1)'!F14,0)</f>
        <v>0</v>
      </c>
      <c r="F82" s="39" t="s">
        <v>222</v>
      </c>
    </row>
    <row r="83" spans="1:11" ht="16.5" thickBot="1" x14ac:dyDescent="0.25">
      <c r="B83" s="170"/>
      <c r="C83" s="18"/>
      <c r="D83" s="40">
        <f t="shared" si="0"/>
        <v>2025</v>
      </c>
      <c r="E83" s="38">
        <f>ROUNDDOWN('MRS(calc_process_Option1)'!F15,0)</f>
        <v>0</v>
      </c>
      <c r="F83" s="39" t="s">
        <v>222</v>
      </c>
    </row>
    <row r="84" spans="1:11" ht="16.5" thickBot="1" x14ac:dyDescent="0.25">
      <c r="B84" s="170"/>
      <c r="C84" s="18"/>
      <c r="D84" s="40">
        <f t="shared" si="0"/>
        <v>2026</v>
      </c>
      <c r="E84" s="38">
        <f>ROUNDDOWN('MRS(calc_process_Option1)'!F16,0)</f>
        <v>0</v>
      </c>
      <c r="F84" s="39" t="s">
        <v>222</v>
      </c>
    </row>
    <row r="85" spans="1:11" ht="16.5" thickBot="1" x14ac:dyDescent="0.25">
      <c r="B85" s="170"/>
      <c r="C85" s="18"/>
      <c r="D85" s="40">
        <f t="shared" si="0"/>
        <v>2027</v>
      </c>
      <c r="E85" s="38">
        <f>ROUNDDOWN('MRS(calc_process_Option1)'!F17,0)</f>
        <v>0</v>
      </c>
      <c r="F85" s="39" t="s">
        <v>222</v>
      </c>
    </row>
    <row r="86" spans="1:11" ht="16.5" thickBot="1" x14ac:dyDescent="0.25">
      <c r="B86" s="170"/>
      <c r="C86" s="18"/>
      <c r="D86" s="40">
        <f t="shared" si="0"/>
        <v>2028</v>
      </c>
      <c r="E86" s="38">
        <f>ROUNDDOWN('MRS(calc_process_Option1)'!F18,0)</f>
        <v>0</v>
      </c>
      <c r="F86" s="39" t="s">
        <v>222</v>
      </c>
    </row>
    <row r="87" spans="1:11" ht="16.5" thickBot="1" x14ac:dyDescent="0.25">
      <c r="B87" s="170"/>
      <c r="C87" s="18"/>
      <c r="D87" s="40">
        <f t="shared" si="0"/>
        <v>2029</v>
      </c>
      <c r="E87" s="38">
        <f>ROUNDDOWN('MRS(calc_process_Option1)'!F19,0)</f>
        <v>0</v>
      </c>
      <c r="F87" s="39" t="s">
        <v>222</v>
      </c>
    </row>
    <row r="88" spans="1:11" x14ac:dyDescent="0.2">
      <c r="G88" s="41"/>
      <c r="H88" s="42"/>
    </row>
    <row r="89" spans="1:11" x14ac:dyDescent="0.2">
      <c r="A89" s="14" t="s">
        <v>223</v>
      </c>
    </row>
    <row r="90" spans="1:11" x14ac:dyDescent="0.2">
      <c r="B90" s="196" t="s">
        <v>224</v>
      </c>
      <c r="C90" s="196"/>
      <c r="D90" s="196" t="s">
        <v>225</v>
      </c>
      <c r="E90" s="196"/>
      <c r="F90" s="196"/>
      <c r="G90" s="196"/>
      <c r="H90" s="196"/>
      <c r="I90" s="196"/>
      <c r="J90" s="196"/>
      <c r="K90" s="44"/>
    </row>
    <row r="91" spans="1:11" x14ac:dyDescent="0.2">
      <c r="B91" s="196" t="s">
        <v>226</v>
      </c>
      <c r="C91" s="196"/>
      <c r="D91" s="196" t="s">
        <v>227</v>
      </c>
      <c r="E91" s="196"/>
      <c r="F91" s="196"/>
      <c r="G91" s="196"/>
      <c r="H91" s="196"/>
      <c r="I91" s="196"/>
      <c r="J91" s="196"/>
      <c r="K91" s="44"/>
    </row>
    <row r="92" spans="1:11" x14ac:dyDescent="0.2">
      <c r="B92" s="196" t="s">
        <v>228</v>
      </c>
      <c r="C92" s="196"/>
      <c r="D92" s="196" t="s">
        <v>229</v>
      </c>
      <c r="E92" s="196"/>
      <c r="F92" s="196"/>
      <c r="G92" s="196"/>
      <c r="H92" s="196"/>
      <c r="I92" s="196"/>
      <c r="J92" s="196"/>
      <c r="K92" s="44"/>
    </row>
  </sheetData>
  <sheetProtection algorithmName="SHA-512" hashValue="G7uHkUSQRNkRomD2Qyt4AUzXF2Zn3EQfBPjh5kXRaCt9hn0Gb82mLAEjOqjIqGdAxZfPRf26i8mLP7Xt67YdDg==" saltValue="rfd5JAxFxWuE/InVOj64hQ==" spinCount="100000" sheet="1" formatCells="0" formatRows="0"/>
  <mergeCells count="172">
    <mergeCell ref="B35:C35"/>
    <mergeCell ref="B36:C36"/>
    <mergeCell ref="D35:E35"/>
    <mergeCell ref="D36:E36"/>
    <mergeCell ref="H35:J35"/>
    <mergeCell ref="H36:J36"/>
    <mergeCell ref="K35:L35"/>
    <mergeCell ref="K36:L36"/>
    <mergeCell ref="B92:C92"/>
    <mergeCell ref="B68:C68"/>
    <mergeCell ref="B69:C69"/>
    <mergeCell ref="B70:C70"/>
    <mergeCell ref="B71:C71"/>
    <mergeCell ref="C74:E74"/>
    <mergeCell ref="B63:C63"/>
    <mergeCell ref="B64:C64"/>
    <mergeCell ref="B65:C65"/>
    <mergeCell ref="B66:C66"/>
    <mergeCell ref="B67:C67"/>
    <mergeCell ref="D63:E63"/>
    <mergeCell ref="B58:C58"/>
    <mergeCell ref="B59:C59"/>
    <mergeCell ref="B60:C60"/>
    <mergeCell ref="B61:C61"/>
    <mergeCell ref="B62:C62"/>
    <mergeCell ref="B53:C53"/>
    <mergeCell ref="B54:C54"/>
    <mergeCell ref="B55:C55"/>
    <mergeCell ref="B56:C56"/>
    <mergeCell ref="B57:C57"/>
    <mergeCell ref="B48:C48"/>
    <mergeCell ref="B49:C49"/>
    <mergeCell ref="B50:C50"/>
    <mergeCell ref="B51:C51"/>
    <mergeCell ref="B52:C52"/>
    <mergeCell ref="D92:J92"/>
    <mergeCell ref="B31:C31"/>
    <mergeCell ref="B32:C32"/>
    <mergeCell ref="B33:C33"/>
    <mergeCell ref="B34:C34"/>
    <mergeCell ref="B37:C37"/>
    <mergeCell ref="B38:C38"/>
    <mergeCell ref="B39:C39"/>
    <mergeCell ref="B40:C40"/>
    <mergeCell ref="B41:C41"/>
    <mergeCell ref="B42:C42"/>
    <mergeCell ref="B43:C43"/>
    <mergeCell ref="B44:C44"/>
    <mergeCell ref="B45:C45"/>
    <mergeCell ref="B46:C46"/>
    <mergeCell ref="B47:C47"/>
    <mergeCell ref="D71:E71"/>
    <mergeCell ref="H71:J71"/>
    <mergeCell ref="D67:E67"/>
    <mergeCell ref="H67:J67"/>
    <mergeCell ref="H63:J63"/>
    <mergeCell ref="D59:E59"/>
    <mergeCell ref="H59:J59"/>
    <mergeCell ref="D55:E55"/>
    <mergeCell ref="K71:L71"/>
    <mergeCell ref="C75:D75"/>
    <mergeCell ref="D90:J90"/>
    <mergeCell ref="D91:J91"/>
    <mergeCell ref="B90:C90"/>
    <mergeCell ref="B91:C91"/>
    <mergeCell ref="D69:E69"/>
    <mergeCell ref="H69:J69"/>
    <mergeCell ref="K69:L69"/>
    <mergeCell ref="D70:E70"/>
    <mergeCell ref="H70:J70"/>
    <mergeCell ref="K70:L70"/>
    <mergeCell ref="K67:L67"/>
    <mergeCell ref="D68:E68"/>
    <mergeCell ref="H68:J68"/>
    <mergeCell ref="K68:L68"/>
    <mergeCell ref="D65:E65"/>
    <mergeCell ref="H65:J65"/>
    <mergeCell ref="K65:L65"/>
    <mergeCell ref="D66:E66"/>
    <mergeCell ref="H66:J66"/>
    <mergeCell ref="K66:L66"/>
    <mergeCell ref="K63:L63"/>
    <mergeCell ref="D64:E64"/>
    <mergeCell ref="H64:J64"/>
    <mergeCell ref="K64:L64"/>
    <mergeCell ref="D61:E61"/>
    <mergeCell ref="H61:J61"/>
    <mergeCell ref="K61:L61"/>
    <mergeCell ref="D62:E62"/>
    <mergeCell ref="H62:J62"/>
    <mergeCell ref="K62:L62"/>
    <mergeCell ref="K59:L59"/>
    <mergeCell ref="D60:E60"/>
    <mergeCell ref="H60:J60"/>
    <mergeCell ref="K60:L60"/>
    <mergeCell ref="D57:E57"/>
    <mergeCell ref="H57:J57"/>
    <mergeCell ref="K57:L57"/>
    <mergeCell ref="D58:E58"/>
    <mergeCell ref="H58:J58"/>
    <mergeCell ref="K58:L58"/>
    <mergeCell ref="H55:J55"/>
    <mergeCell ref="K55:L55"/>
    <mergeCell ref="D56:E56"/>
    <mergeCell ref="H56:J56"/>
    <mergeCell ref="K56:L56"/>
    <mergeCell ref="D53:E53"/>
    <mergeCell ref="H53:J53"/>
    <mergeCell ref="K53:L53"/>
    <mergeCell ref="D54:E54"/>
    <mergeCell ref="H54:J54"/>
    <mergeCell ref="K54:L54"/>
    <mergeCell ref="D51:E51"/>
    <mergeCell ref="H51:J51"/>
    <mergeCell ref="K51:L51"/>
    <mergeCell ref="D52:E52"/>
    <mergeCell ref="H52:J52"/>
    <mergeCell ref="K52:L52"/>
    <mergeCell ref="D49:E49"/>
    <mergeCell ref="H49:J49"/>
    <mergeCell ref="K49:L49"/>
    <mergeCell ref="D50:E50"/>
    <mergeCell ref="H50:J50"/>
    <mergeCell ref="K50:L50"/>
    <mergeCell ref="D47:E47"/>
    <mergeCell ref="H47:J47"/>
    <mergeCell ref="K47:L47"/>
    <mergeCell ref="D48:E48"/>
    <mergeCell ref="H48:J48"/>
    <mergeCell ref="K48:L48"/>
    <mergeCell ref="D45:E45"/>
    <mergeCell ref="H45:J45"/>
    <mergeCell ref="K45:L45"/>
    <mergeCell ref="D46:E46"/>
    <mergeCell ref="H46:J46"/>
    <mergeCell ref="K46:L46"/>
    <mergeCell ref="D43:E43"/>
    <mergeCell ref="H43:J43"/>
    <mergeCell ref="K43:L43"/>
    <mergeCell ref="D44:E44"/>
    <mergeCell ref="H44:J44"/>
    <mergeCell ref="K44:L44"/>
    <mergeCell ref="D41:E41"/>
    <mergeCell ref="H41:J41"/>
    <mergeCell ref="K41:L41"/>
    <mergeCell ref="D42:E42"/>
    <mergeCell ref="H42:J42"/>
    <mergeCell ref="K42:L42"/>
    <mergeCell ref="D39:E39"/>
    <mergeCell ref="H39:J39"/>
    <mergeCell ref="K39:L39"/>
    <mergeCell ref="D40:E40"/>
    <mergeCell ref="H40:J40"/>
    <mergeCell ref="K40:L40"/>
    <mergeCell ref="D37:E37"/>
    <mergeCell ref="H37:J37"/>
    <mergeCell ref="K37:L37"/>
    <mergeCell ref="D38:E38"/>
    <mergeCell ref="H38:J38"/>
    <mergeCell ref="K38:L38"/>
    <mergeCell ref="D33:E33"/>
    <mergeCell ref="H33:J33"/>
    <mergeCell ref="K33:L33"/>
    <mergeCell ref="D34:E34"/>
    <mergeCell ref="H34:J34"/>
    <mergeCell ref="K34:L34"/>
    <mergeCell ref="D31:E31"/>
    <mergeCell ref="H31:J31"/>
    <mergeCell ref="K31:L31"/>
    <mergeCell ref="D32:E32"/>
    <mergeCell ref="H32:J32"/>
    <mergeCell ref="K32:L32"/>
  </mergeCells>
  <phoneticPr fontId="2"/>
  <pageMargins left="0.70866141732283472" right="0.70866141732283472" top="0.74803149606299213" bottom="0.74803149606299213" header="0.31496062992125984" footer="0.31496062992125984"/>
  <pageSetup paperSize="9" scale="21" orientation="landscape" r:id="rId1"/>
  <rowBreaks count="2" manualBreakCount="2">
    <brk id="93" max="16383" man="1"/>
    <brk id="94" max="16383" man="1"/>
  </rowBreaks>
  <colBreaks count="2" manualBreakCount="2">
    <brk id="5" max="1048575" man="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87E2-AC6B-43F7-925A-A392BAD20475}">
  <sheetPr>
    <tabColor theme="5" tint="0.39997558519241921"/>
  </sheetPr>
  <dimension ref="A1:AC42"/>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7.08984375" style="1" customWidth="1"/>
    <col min="3" max="14" width="10.6328125" style="2" customWidth="1"/>
    <col min="15" max="26" width="10.6328125" style="1" customWidth="1"/>
    <col min="27" max="27" width="17.08984375" style="1" customWidth="1"/>
    <col min="28" max="28" width="11.08984375" style="1" customWidth="1"/>
    <col min="29" max="29" width="10.6328125" style="1" customWidth="1"/>
    <col min="30" max="113" width="6.6328125" style="1" customWidth="1"/>
    <col min="114" max="16384" width="8.90625" style="1"/>
  </cols>
  <sheetData>
    <row r="1" spans="1:29" x14ac:dyDescent="0.2">
      <c r="C1" s="47"/>
      <c r="D1" s="47"/>
      <c r="E1" s="47"/>
      <c r="F1" s="47"/>
      <c r="G1" s="47"/>
      <c r="H1" s="47"/>
      <c r="I1" s="47"/>
      <c r="J1" s="47"/>
      <c r="K1" s="47"/>
      <c r="L1" s="47"/>
      <c r="M1" s="47"/>
      <c r="N1" s="47"/>
      <c r="AA1" s="3"/>
      <c r="AC1" s="48" t="str">
        <f>'MPS(input_Option1)'!K1</f>
        <v>Monitoring Spreadsheet: JCM_KH_AM004_ver01.1</v>
      </c>
    </row>
    <row r="2" spans="1:29" x14ac:dyDescent="0.2">
      <c r="C2" s="47"/>
      <c r="D2" s="47"/>
      <c r="E2" s="47"/>
      <c r="F2" s="47"/>
      <c r="G2" s="47"/>
      <c r="H2" s="47"/>
      <c r="I2" s="47"/>
      <c r="J2" s="47"/>
      <c r="K2" s="47"/>
      <c r="L2" s="47"/>
      <c r="M2" s="47"/>
      <c r="N2" s="47"/>
      <c r="AA2" s="3"/>
      <c r="AC2" s="48" t="str">
        <f>'MPS(input_Option1)'!K2</f>
        <v>Reference Number: KH005</v>
      </c>
    </row>
    <row r="3" spans="1:29" ht="16" x14ac:dyDescent="0.2">
      <c r="A3" s="213" t="s">
        <v>230</v>
      </c>
      <c r="B3" s="213"/>
      <c r="C3" s="211" t="s">
        <v>231</v>
      </c>
      <c r="D3" s="211"/>
      <c r="E3" s="211"/>
      <c r="F3" s="211"/>
      <c r="G3" s="211"/>
      <c r="H3" s="211"/>
      <c r="I3" s="211"/>
      <c r="J3" s="211"/>
      <c r="K3" s="211"/>
      <c r="L3" s="211"/>
      <c r="M3" s="211"/>
      <c r="N3" s="211"/>
      <c r="O3" s="212" t="s">
        <v>232</v>
      </c>
      <c r="P3" s="212"/>
      <c r="Q3" s="212"/>
      <c r="R3" s="212"/>
      <c r="S3" s="212"/>
      <c r="T3" s="212"/>
      <c r="U3" s="212"/>
      <c r="V3" s="212"/>
      <c r="W3" s="212"/>
      <c r="X3" s="212"/>
      <c r="Y3" s="212"/>
      <c r="Z3" s="212"/>
      <c r="AA3" s="49" t="s">
        <v>233</v>
      </c>
      <c r="AB3" s="21" t="s">
        <v>133</v>
      </c>
      <c r="AC3" s="21" t="s">
        <v>234</v>
      </c>
    </row>
    <row r="4" spans="1:29" ht="56.5" x14ac:dyDescent="0.2">
      <c r="A4" s="213" t="s">
        <v>235</v>
      </c>
      <c r="B4" s="213"/>
      <c r="C4" s="211" t="s">
        <v>236</v>
      </c>
      <c r="D4" s="211"/>
      <c r="E4" s="211"/>
      <c r="F4" s="211"/>
      <c r="G4" s="211"/>
      <c r="H4" s="211"/>
      <c r="I4" s="211"/>
      <c r="J4" s="211"/>
      <c r="K4" s="211"/>
      <c r="L4" s="211"/>
      <c r="M4" s="211"/>
      <c r="N4" s="211"/>
      <c r="O4" s="212" t="s">
        <v>237</v>
      </c>
      <c r="P4" s="212"/>
      <c r="Q4" s="212"/>
      <c r="R4" s="212"/>
      <c r="S4" s="212"/>
      <c r="T4" s="212"/>
      <c r="U4" s="212"/>
      <c r="V4" s="212"/>
      <c r="W4" s="212"/>
      <c r="X4" s="212"/>
      <c r="Y4" s="212"/>
      <c r="Z4" s="212"/>
      <c r="AA4" s="49" t="s">
        <v>351</v>
      </c>
      <c r="AB4" s="174" t="s">
        <v>239</v>
      </c>
      <c r="AC4" s="174" t="s">
        <v>240</v>
      </c>
    </row>
    <row r="5" spans="1:29" ht="17.5" x14ac:dyDescent="0.2">
      <c r="A5" s="213" t="s">
        <v>241</v>
      </c>
      <c r="B5" s="213"/>
      <c r="C5" s="211" t="s">
        <v>27</v>
      </c>
      <c r="D5" s="211"/>
      <c r="E5" s="211"/>
      <c r="F5" s="211"/>
      <c r="G5" s="211"/>
      <c r="H5" s="211"/>
      <c r="I5" s="211"/>
      <c r="J5" s="211"/>
      <c r="K5" s="211"/>
      <c r="L5" s="211"/>
      <c r="M5" s="211"/>
      <c r="N5" s="211"/>
      <c r="O5" s="212" t="s">
        <v>242</v>
      </c>
      <c r="P5" s="212"/>
      <c r="Q5" s="212"/>
      <c r="R5" s="212"/>
      <c r="S5" s="212"/>
      <c r="T5" s="212"/>
      <c r="U5" s="212"/>
      <c r="V5" s="212"/>
      <c r="W5" s="212"/>
      <c r="X5" s="212"/>
      <c r="Y5" s="212"/>
      <c r="Z5" s="212"/>
      <c r="AA5" s="49" t="s">
        <v>243</v>
      </c>
      <c r="AB5" s="174" t="s">
        <v>244</v>
      </c>
      <c r="AC5" s="174" t="s">
        <v>244</v>
      </c>
    </row>
    <row r="6" spans="1:29" ht="42" x14ac:dyDescent="0.2">
      <c r="A6" s="213" t="s">
        <v>245</v>
      </c>
      <c r="B6" s="213"/>
      <c r="C6" s="50" t="s">
        <v>246</v>
      </c>
      <c r="D6" s="50" t="s">
        <v>247</v>
      </c>
      <c r="E6" s="50" t="s">
        <v>248</v>
      </c>
      <c r="F6" s="50" t="s">
        <v>249</v>
      </c>
      <c r="G6" s="50" t="s">
        <v>250</v>
      </c>
      <c r="H6" s="50" t="s">
        <v>251</v>
      </c>
      <c r="I6" s="50" t="s">
        <v>252</v>
      </c>
      <c r="J6" s="50" t="s">
        <v>253</v>
      </c>
      <c r="K6" s="50" t="s">
        <v>254</v>
      </c>
      <c r="L6" s="50" t="s">
        <v>255</v>
      </c>
      <c r="M6" s="50" t="s">
        <v>256</v>
      </c>
      <c r="N6" s="50" t="s">
        <v>257</v>
      </c>
      <c r="O6" s="51" t="s">
        <v>246</v>
      </c>
      <c r="P6" s="51" t="s">
        <v>247</v>
      </c>
      <c r="Q6" s="52" t="s">
        <v>248</v>
      </c>
      <c r="R6" s="51" t="s">
        <v>249</v>
      </c>
      <c r="S6" s="51" t="s">
        <v>250</v>
      </c>
      <c r="T6" s="51" t="s">
        <v>251</v>
      </c>
      <c r="U6" s="51" t="s">
        <v>252</v>
      </c>
      <c r="V6" s="51" t="s">
        <v>253</v>
      </c>
      <c r="W6" s="51" t="s">
        <v>254</v>
      </c>
      <c r="X6" s="51" t="s">
        <v>255</v>
      </c>
      <c r="Y6" s="51" t="s">
        <v>256</v>
      </c>
      <c r="Z6" s="51" t="s">
        <v>257</v>
      </c>
      <c r="AA6" s="49" t="s">
        <v>26</v>
      </c>
      <c r="AB6" s="49" t="s">
        <v>26</v>
      </c>
      <c r="AC6" s="49" t="s">
        <v>26</v>
      </c>
    </row>
    <row r="7" spans="1:29" ht="28" x14ac:dyDescent="0.2">
      <c r="A7" s="53" t="s">
        <v>258</v>
      </c>
      <c r="B7" s="164">
        <f>'MPS(input_RL_Opt1)'!B7</f>
        <v>2018</v>
      </c>
      <c r="C7" s="164">
        <f>'MPS(input_RL_Opt1)'!C7</f>
        <v>57850.2228258658</v>
      </c>
      <c r="D7" s="164">
        <f>'MPS(input_RL_Opt1)'!D7</f>
        <v>16818.740306539457</v>
      </c>
      <c r="E7" s="164">
        <f>'MPS(input_RL_Opt1)'!E7</f>
        <v>0</v>
      </c>
      <c r="F7" s="164">
        <f>'MPS(input_RL_Opt1)'!F7</f>
        <v>8637.5787346172583</v>
      </c>
      <c r="G7" s="164">
        <f>'MPS(input_RL_Opt1)'!G7</f>
        <v>1013.70277980745</v>
      </c>
      <c r="H7" s="164">
        <f>'MPS(input_RL_Opt1)'!H7</f>
        <v>0</v>
      </c>
      <c r="I7" s="164">
        <f>'MPS(input_RL_Opt1)'!I7</f>
        <v>0</v>
      </c>
      <c r="J7" s="164">
        <f>'MPS(input_RL_Opt1)'!J7</f>
        <v>0</v>
      </c>
      <c r="K7" s="164">
        <f>'MPS(input_RL_Opt1)'!K7</f>
        <v>2417.6641673718545</v>
      </c>
      <c r="L7" s="164">
        <f>'MPS(input_RL_Opt1)'!L7</f>
        <v>0</v>
      </c>
      <c r="M7" s="164">
        <f>'MPS(input_RL_Opt1)'!M7</f>
        <v>0</v>
      </c>
      <c r="N7" s="164">
        <f>'MPS(input_RL_Opt1)'!N7</f>
        <v>0</v>
      </c>
      <c r="O7" s="54" t="s">
        <v>26</v>
      </c>
      <c r="P7" s="54" t="s">
        <v>26</v>
      </c>
      <c r="Q7" s="54" t="s">
        <v>26</v>
      </c>
      <c r="R7" s="54" t="s">
        <v>26</v>
      </c>
      <c r="S7" s="54" t="s">
        <v>26</v>
      </c>
      <c r="T7" s="54" t="s">
        <v>26</v>
      </c>
      <c r="U7" s="54" t="s">
        <v>26</v>
      </c>
      <c r="V7" s="54" t="s">
        <v>26</v>
      </c>
      <c r="W7" s="54" t="s">
        <v>26</v>
      </c>
      <c r="X7" s="54" t="s">
        <v>26</v>
      </c>
      <c r="Y7" s="54" t="s">
        <v>26</v>
      </c>
      <c r="Z7" s="54" t="s">
        <v>26</v>
      </c>
      <c r="AA7" s="54" t="s">
        <v>26</v>
      </c>
      <c r="AB7" s="54" t="s">
        <v>26</v>
      </c>
      <c r="AC7" s="54" t="s">
        <v>26</v>
      </c>
    </row>
    <row r="8" spans="1:29" x14ac:dyDescent="0.2">
      <c r="A8" s="214" t="s">
        <v>221</v>
      </c>
      <c r="B8" s="164">
        <f>'MPS(input_RL_Opt1)'!B8</f>
        <v>2018</v>
      </c>
      <c r="C8" s="55">
        <f>IFERROR(C7*(1-'MRS(input_Option1)'!$F$37*$AB8/$AC8),0)</f>
        <v>0</v>
      </c>
      <c r="D8" s="55">
        <f>IFERROR(D7*(1-'MRS(input_Option1)'!$F$38*$AB8/$AC8),0)</f>
        <v>0</v>
      </c>
      <c r="E8" s="55">
        <f>IFERROR(E7*(1-'MRS(input_Option1)'!$F$39*$AB8/$AC8),0)</f>
        <v>0</v>
      </c>
      <c r="F8" s="55">
        <f>IFERROR(F7*(1-'MRS(input_Option1)'!$F$40*$AB8/$AC8),0)</f>
        <v>0</v>
      </c>
      <c r="G8" s="55">
        <f>IFERROR(G7*(1-'MRS(input_Option1)'!$F$41*$AB8/$AC8),0)</f>
        <v>0</v>
      </c>
      <c r="H8" s="55">
        <f>IFERROR(H7*(1-'MRS(input_Option1)'!$F$42*$AB8/$AC8),0)</f>
        <v>0</v>
      </c>
      <c r="I8" s="55">
        <f>IFERROR(I7*(1-'MRS(input_Option1)'!$F$43*$AB8/$AC8),0)</f>
        <v>0</v>
      </c>
      <c r="J8" s="55">
        <f>IFERROR(J7*(1-'MRS(input_Option1)'!$F$44*$AB8/$AC8),0)</f>
        <v>0</v>
      </c>
      <c r="K8" s="55">
        <f>IFERROR(K7*(1-'MRS(input_Option1)'!$F$45*$AB8/$AC8),0)</f>
        <v>0</v>
      </c>
      <c r="L8" s="55">
        <f>IFERROR(L7*(1-'MRS(input_Option1)'!$F$46*$AB8/$AC8),0)</f>
        <v>0</v>
      </c>
      <c r="M8" s="55">
        <f>IFERROR(M7*(1-'MRS(input_Option1)'!$F$47*$AB8/$AC8),0)</f>
        <v>0</v>
      </c>
      <c r="N8" s="55">
        <f>SUM(C$7:N$7)-SUM(C8:M8)</f>
        <v>86737.90881420183</v>
      </c>
      <c r="O8" s="55">
        <f>IFERROR(C7*'MRS(input_Option1)'!$F$37*$AB8/$AC8*'MRS(input_Option1)'!$F$59,0)</f>
        <v>0</v>
      </c>
      <c r="P8" s="55">
        <f>IFERROR(D7*'MRS(input_Option1)'!$F$38*$AB8/$AC8*'MRS(input_Option1)'!$F$60,0)</f>
        <v>0</v>
      </c>
      <c r="Q8" s="55">
        <f>IFERROR(E7*'MRS(input_Option1)'!$F$39*$AB8/$AC8*'MRS(input_Option1)'!$F$61,0)</f>
        <v>0</v>
      </c>
      <c r="R8" s="55">
        <f>IFERROR(F7*'MRS(input_Option1)'!$F$40*$AB8/$AC8*'MRS(input_Option1)'!$F$62,0)</f>
        <v>0</v>
      </c>
      <c r="S8" s="55">
        <f>IFERROR(G7*'MRS(input_Option1)'!$F$41*$AB8/$AC8*'MRS(input_Option1)'!$F$63,0)</f>
        <v>0</v>
      </c>
      <c r="T8" s="55">
        <f>IFERROR(H7*'MRS(input_Option1)'!$F$42*$AB8/$AC8*'MRS(input_Option1)'!$F$64,0)</f>
        <v>0</v>
      </c>
      <c r="U8" s="55">
        <f>IFERROR(I7*'MRS(input_Option1)'!$F$43*$AB8/$AC8*'MRS(input_Option1)'!$F$65,0)</f>
        <v>0</v>
      </c>
      <c r="V8" s="55">
        <f>IFERROR(J7*'MRS(input_Option1)'!$F$44*$AB8/$AC8*'MRS(input_Option1)'!$F$66,0)</f>
        <v>0</v>
      </c>
      <c r="W8" s="55">
        <f>IFERROR(K7*'MRS(input_Option1)'!$F$45*$AB8/$AC8*'MRS(input_Option1)'!$F$67,0)</f>
        <v>0</v>
      </c>
      <c r="X8" s="55">
        <f>IFERROR(L7*'MRS(input_Option1)'!$F$46*$AB8/$AC8*'MRS(input_Option1)'!$F$68,0)</f>
        <v>0</v>
      </c>
      <c r="Y8" s="55">
        <f>IFERROR(M7*'MRS(input_Option1)'!$F$47*$AB8/$AC8*'MRS(input_Option1)'!$F$69,0)</f>
        <v>0</v>
      </c>
      <c r="Z8" s="55">
        <f>IFERROR(N7*$AB8/$AC8*0,0)</f>
        <v>0</v>
      </c>
      <c r="AA8" s="56">
        <f>SUM(O8:Z8)*(44/12)</f>
        <v>0</v>
      </c>
      <c r="AB8" s="46"/>
      <c r="AC8" s="46"/>
    </row>
    <row r="9" spans="1:29" x14ac:dyDescent="0.2">
      <c r="A9" s="215"/>
      <c r="B9" s="178">
        <f t="shared" ref="B9:B19" si="0">B8+1</f>
        <v>2019</v>
      </c>
      <c r="C9" s="55">
        <f>C8*(1-'MRS(input_Option1)'!$F$37)</f>
        <v>0</v>
      </c>
      <c r="D9" s="55">
        <f>D8*(1-'MRS(input_Option1)'!$F$38)</f>
        <v>0</v>
      </c>
      <c r="E9" s="55">
        <f>E8*(1-'MRS(input_Option1)'!$F$39)</f>
        <v>0</v>
      </c>
      <c r="F9" s="55">
        <f>F8*(1-'MRS(input_Option1)'!$F$40)</f>
        <v>0</v>
      </c>
      <c r="G9" s="55">
        <f>G8*(1-'MRS(input_Option1)'!$F$41)</f>
        <v>0</v>
      </c>
      <c r="H9" s="55">
        <f>H8*(1-'MRS(input_Option1)'!$F$42)</f>
        <v>0</v>
      </c>
      <c r="I9" s="55">
        <f>I8*(1-'MRS(input_Option1)'!$F$43)</f>
        <v>0</v>
      </c>
      <c r="J9" s="55">
        <f>J8*(1-'MRS(input_Option1)'!$F$44)</f>
        <v>0</v>
      </c>
      <c r="K9" s="55">
        <f>K8*(1-'MRS(input_Option1)'!$F$45)</f>
        <v>0</v>
      </c>
      <c r="L9" s="55">
        <f>L8*(1-'MRS(input_Option1)'!$F$46)</f>
        <v>0</v>
      </c>
      <c r="M9" s="55">
        <f>M8*(1-'MRS(input_Option1)'!$F$47)</f>
        <v>0</v>
      </c>
      <c r="N9" s="55">
        <f t="shared" ref="N9:N19" si="1">SUM(C$7:N$7)-SUM(C9:M9)</f>
        <v>86737.90881420183</v>
      </c>
      <c r="O9" s="55">
        <f>IFERROR(C8*'MRS(input_Option1)'!$F$37*$AB9/$AC9*'MRS(input_Option1)'!$F$59,0)</f>
        <v>0</v>
      </c>
      <c r="P9" s="55">
        <f>IFERROR(D8*'MRS(input_Option1)'!$F$38*$AB9/$AC9*'MRS(input_Option1)'!$F$60,0)</f>
        <v>0</v>
      </c>
      <c r="Q9" s="55">
        <f>IFERROR(E8*'MRS(input_Option1)'!$F$39*$AB9/$AC9*'MRS(input_Option1)'!$F$61,0)</f>
        <v>0</v>
      </c>
      <c r="R9" s="55">
        <f>IFERROR(F8*'MRS(input_Option1)'!$F$40*$AB9/$AC9*'MRS(input_Option1)'!$F$62,0)</f>
        <v>0</v>
      </c>
      <c r="S9" s="55">
        <f>IFERROR(G8*'MRS(input_Option1)'!$F$41*$AB9/$AC9*'MRS(input_Option1)'!$F$63,0)</f>
        <v>0</v>
      </c>
      <c r="T9" s="55">
        <f>IFERROR(H8*'MRS(input_Option1)'!$F$42*$AB9/$AC9*'MRS(input_Option1)'!$F$64,0)</f>
        <v>0</v>
      </c>
      <c r="U9" s="55">
        <f>IFERROR(I8*'MRS(input_Option1)'!$F$43*$AB9/$AC9*'MRS(input_Option1)'!$F$65,0)</f>
        <v>0</v>
      </c>
      <c r="V9" s="55">
        <f>IFERROR(J8*'MRS(input_Option1)'!$F$44*$AB9/$AC9*'MRS(input_Option1)'!$F$66,0)</f>
        <v>0</v>
      </c>
      <c r="W9" s="55">
        <f>IFERROR(K8*'MRS(input_Option1)'!$F$45*$AB9/$AC9*'MRS(input_Option1)'!$F$67,0)</f>
        <v>0</v>
      </c>
      <c r="X9" s="55">
        <f>IFERROR(L8*'MRS(input_Option1)'!$F$46*$AB9/$AC9*'MRS(input_Option1)'!$F$68,0)</f>
        <v>0</v>
      </c>
      <c r="Y9" s="55">
        <f>IFERROR(M8*'MRS(input_Option1)'!$F$47*$AB9/$AC9*'MRS(input_Option1)'!$F$69,0)</f>
        <v>0</v>
      </c>
      <c r="Z9" s="55">
        <f t="shared" ref="Z9:Z19" si="2">IFERROR(N8*$AB9/$AC9*0,0)</f>
        <v>0</v>
      </c>
      <c r="AA9" s="56">
        <f t="shared" ref="AA9:AA19" si="3">SUM(O9:Z9)*(44/12)</f>
        <v>0</v>
      </c>
      <c r="AB9" s="46"/>
      <c r="AC9" s="46"/>
    </row>
    <row r="10" spans="1:29" x14ac:dyDescent="0.2">
      <c r="A10" s="215"/>
      <c r="B10" s="178">
        <f t="shared" si="0"/>
        <v>2020</v>
      </c>
      <c r="C10" s="55">
        <f>C9*(1-'MRS(input_Option1)'!$F$37)</f>
        <v>0</v>
      </c>
      <c r="D10" s="55">
        <f>D9*(1-'MRS(input_Option1)'!$F$38)</f>
        <v>0</v>
      </c>
      <c r="E10" s="55">
        <f>E9*(1-'MRS(input_Option1)'!$F$39)</f>
        <v>0</v>
      </c>
      <c r="F10" s="55">
        <f>F9*(1-'MRS(input_Option1)'!$F$40)</f>
        <v>0</v>
      </c>
      <c r="G10" s="55">
        <f>G9*(1-'MRS(input_Option1)'!$F$41)</f>
        <v>0</v>
      </c>
      <c r="H10" s="55">
        <f>H9*(1-'MRS(input_Option1)'!$F$42)</f>
        <v>0</v>
      </c>
      <c r="I10" s="55">
        <f>I9*(1-'MRS(input_Option1)'!$F$43)</f>
        <v>0</v>
      </c>
      <c r="J10" s="55">
        <f>J9*(1-'MRS(input_Option1)'!$F$44)</f>
        <v>0</v>
      </c>
      <c r="K10" s="55">
        <f>K9*(1-'MRS(input_Option1)'!$F$45)</f>
        <v>0</v>
      </c>
      <c r="L10" s="55">
        <f>L9*(1-'MRS(input_Option1)'!$F$46)</f>
        <v>0</v>
      </c>
      <c r="M10" s="55">
        <f>M9*(1-'MRS(input_Option1)'!$F$47)</f>
        <v>0</v>
      </c>
      <c r="N10" s="55">
        <f t="shared" si="1"/>
        <v>86737.90881420183</v>
      </c>
      <c r="O10" s="55">
        <f>IFERROR(C9*'MRS(input_Option1)'!$F$37*$AB10/$AC10*'MRS(input_Option1)'!$F$59,0)</f>
        <v>0</v>
      </c>
      <c r="P10" s="55">
        <f>IFERROR(D9*'MRS(input_Option1)'!$F$38*$AB10/$AC10*'MRS(input_Option1)'!$F$60,0)</f>
        <v>0</v>
      </c>
      <c r="Q10" s="55">
        <f>IFERROR(E9*'MRS(input_Option1)'!$F$39*$AB10/$AC10*'MRS(input_Option1)'!$F$61,0)</f>
        <v>0</v>
      </c>
      <c r="R10" s="55">
        <f>IFERROR(F9*'MRS(input_Option1)'!$F$40*$AB10/$AC10*'MRS(input_Option1)'!$F$62,0)</f>
        <v>0</v>
      </c>
      <c r="S10" s="55">
        <f>IFERROR(G9*'MRS(input_Option1)'!$F$41*$AB10/$AC10*'MRS(input_Option1)'!$F$63,0)</f>
        <v>0</v>
      </c>
      <c r="T10" s="55">
        <f>IFERROR(H9*'MRS(input_Option1)'!$F$42*$AB10/$AC10*'MRS(input_Option1)'!$F$64,0)</f>
        <v>0</v>
      </c>
      <c r="U10" s="55">
        <f>IFERROR(I9*'MRS(input_Option1)'!$F$43*$AB10/$AC10*'MRS(input_Option1)'!$F$65,0)</f>
        <v>0</v>
      </c>
      <c r="V10" s="55">
        <f>IFERROR(J9*'MRS(input_Option1)'!$F$44*$AB10/$AC10*'MRS(input_Option1)'!$F$66,0)</f>
        <v>0</v>
      </c>
      <c r="W10" s="55">
        <f>IFERROR(K9*'MRS(input_Option1)'!$F$45*$AB10/$AC10*'MRS(input_Option1)'!$F$67,0)</f>
        <v>0</v>
      </c>
      <c r="X10" s="55">
        <f>IFERROR(L9*'MRS(input_Option1)'!$F$46*$AB10/$AC10*'MRS(input_Option1)'!$F$68,0)</f>
        <v>0</v>
      </c>
      <c r="Y10" s="55">
        <f>IFERROR(M9*'MRS(input_Option1)'!$F$47*$AB10/$AC10*'MRS(input_Option1)'!$F$69,0)</f>
        <v>0</v>
      </c>
      <c r="Z10" s="55">
        <f t="shared" si="2"/>
        <v>0</v>
      </c>
      <c r="AA10" s="56">
        <f t="shared" si="3"/>
        <v>0</v>
      </c>
      <c r="AB10" s="46"/>
      <c r="AC10" s="46"/>
    </row>
    <row r="11" spans="1:29" x14ac:dyDescent="0.2">
      <c r="A11" s="215"/>
      <c r="B11" s="178">
        <f t="shared" si="0"/>
        <v>2021</v>
      </c>
      <c r="C11" s="55">
        <f>C10*(1-'MRS(input_Option1)'!$F$37)</f>
        <v>0</v>
      </c>
      <c r="D11" s="55">
        <f>D10*(1-'MRS(input_Option1)'!$F$38)</f>
        <v>0</v>
      </c>
      <c r="E11" s="55">
        <f>E10*(1-'MRS(input_Option1)'!$F$39)</f>
        <v>0</v>
      </c>
      <c r="F11" s="55">
        <f>F10*(1-'MRS(input_Option1)'!$F$40)</f>
        <v>0</v>
      </c>
      <c r="G11" s="55">
        <f>G10*(1-'MRS(input_Option1)'!$F$41)</f>
        <v>0</v>
      </c>
      <c r="H11" s="55">
        <f>H10*(1-'MRS(input_Option1)'!$F$42)</f>
        <v>0</v>
      </c>
      <c r="I11" s="55">
        <f>I10*(1-'MRS(input_Option1)'!$F$43)</f>
        <v>0</v>
      </c>
      <c r="J11" s="55">
        <f>J10*(1-'MRS(input_Option1)'!$F$44)</f>
        <v>0</v>
      </c>
      <c r="K11" s="55">
        <f>K10*(1-'MRS(input_Option1)'!$F$45)</f>
        <v>0</v>
      </c>
      <c r="L11" s="55">
        <f>L10*(1-'MRS(input_Option1)'!$F$46)</f>
        <v>0</v>
      </c>
      <c r="M11" s="55">
        <f>M10*(1-'MRS(input_Option1)'!$F$47)</f>
        <v>0</v>
      </c>
      <c r="N11" s="55">
        <f t="shared" si="1"/>
        <v>86737.90881420183</v>
      </c>
      <c r="O11" s="55">
        <f>IFERROR(C10*'MRS(input_Option1)'!$F$37*$AB11/$AC11*'MRS(input_Option1)'!$F$59,0)</f>
        <v>0</v>
      </c>
      <c r="P11" s="55">
        <f>IFERROR(D10*'MRS(input_Option1)'!$F$38*$AB11/$AC11*'MRS(input_Option1)'!$F$60,0)</f>
        <v>0</v>
      </c>
      <c r="Q11" s="55">
        <f>IFERROR(E10*'MRS(input_Option1)'!$F$39*$AB11/$AC11*'MRS(input_Option1)'!$F$61,0)</f>
        <v>0</v>
      </c>
      <c r="R11" s="55">
        <f>IFERROR(F10*'MRS(input_Option1)'!$F$40*$AB11/$AC11*'MRS(input_Option1)'!$F$62,0)</f>
        <v>0</v>
      </c>
      <c r="S11" s="55">
        <f>IFERROR(G10*'MRS(input_Option1)'!$F$41*$AB11/$AC11*'MRS(input_Option1)'!$F$63,0)</f>
        <v>0</v>
      </c>
      <c r="T11" s="55">
        <f>IFERROR(H10*'MRS(input_Option1)'!$F$42*$AB11/$AC11*'MRS(input_Option1)'!$F$64,0)</f>
        <v>0</v>
      </c>
      <c r="U11" s="55">
        <f>IFERROR(I10*'MRS(input_Option1)'!$F$43*$AB11/$AC11*'MRS(input_Option1)'!$F$65,0)</f>
        <v>0</v>
      </c>
      <c r="V11" s="55">
        <f>IFERROR(J10*'MRS(input_Option1)'!$F$44*$AB11/$AC11*'MRS(input_Option1)'!$F$66,0)</f>
        <v>0</v>
      </c>
      <c r="W11" s="55">
        <f>IFERROR(K10*'MRS(input_Option1)'!$F$45*$AB11/$AC11*'MRS(input_Option1)'!$F$67,0)</f>
        <v>0</v>
      </c>
      <c r="X11" s="55">
        <f>IFERROR(L10*'MRS(input_Option1)'!$F$46*$AB11/$AC11*'MRS(input_Option1)'!$F$68,0)</f>
        <v>0</v>
      </c>
      <c r="Y11" s="55">
        <f>IFERROR(M10*'MRS(input_Option1)'!$F$47*$AB11/$AC11*'MRS(input_Option1)'!$F$69,0)</f>
        <v>0</v>
      </c>
      <c r="Z11" s="55">
        <f t="shared" si="2"/>
        <v>0</v>
      </c>
      <c r="AA11" s="56">
        <f t="shared" si="3"/>
        <v>0</v>
      </c>
      <c r="AB11" s="46"/>
      <c r="AC11" s="46"/>
    </row>
    <row r="12" spans="1:29" x14ac:dyDescent="0.2">
      <c r="A12" s="215"/>
      <c r="B12" s="178">
        <f t="shared" si="0"/>
        <v>2022</v>
      </c>
      <c r="C12" s="55">
        <f>C11*(1-'MRS(input_Option1)'!$F$37)</f>
        <v>0</v>
      </c>
      <c r="D12" s="55">
        <f>D11*(1-'MRS(input_Option1)'!$F$38)</f>
        <v>0</v>
      </c>
      <c r="E12" s="55">
        <f>E11*(1-'MRS(input_Option1)'!$F$39)</f>
        <v>0</v>
      </c>
      <c r="F12" s="55">
        <f>F11*(1-'MRS(input_Option1)'!$F$40)</f>
        <v>0</v>
      </c>
      <c r="G12" s="55">
        <f>G11*(1-'MRS(input_Option1)'!$F$41)</f>
        <v>0</v>
      </c>
      <c r="H12" s="55">
        <f>H11*(1-'MRS(input_Option1)'!$F$42)</f>
        <v>0</v>
      </c>
      <c r="I12" s="55">
        <f>I11*(1-'MRS(input_Option1)'!$F$43)</f>
        <v>0</v>
      </c>
      <c r="J12" s="55">
        <f>J11*(1-'MRS(input_Option1)'!$F$44)</f>
        <v>0</v>
      </c>
      <c r="K12" s="55">
        <f>K11*(1-'MRS(input_Option1)'!$F$45)</f>
        <v>0</v>
      </c>
      <c r="L12" s="55">
        <f>L11*(1-'MRS(input_Option1)'!$F$46)</f>
        <v>0</v>
      </c>
      <c r="M12" s="55">
        <f>M11*(1-'MRS(input_Option1)'!$F$47)</f>
        <v>0</v>
      </c>
      <c r="N12" s="55">
        <f t="shared" si="1"/>
        <v>86737.90881420183</v>
      </c>
      <c r="O12" s="55">
        <f>IFERROR(C11*'MRS(input_Option1)'!$F$37*$AB12/$AC12*'MRS(input_Option1)'!$F$59,0)</f>
        <v>0</v>
      </c>
      <c r="P12" s="55">
        <f>IFERROR(D11*'MRS(input_Option1)'!$F$38*$AB12/$AC12*'MRS(input_Option1)'!$F$60,0)</f>
        <v>0</v>
      </c>
      <c r="Q12" s="55">
        <f>IFERROR(E11*'MRS(input_Option1)'!$F$39*$AB12/$AC12*'MRS(input_Option1)'!$F$61,0)</f>
        <v>0</v>
      </c>
      <c r="R12" s="55">
        <f>IFERROR(F11*'MRS(input_Option1)'!$F$40*$AB12/$AC12*'MRS(input_Option1)'!$F$62,0)</f>
        <v>0</v>
      </c>
      <c r="S12" s="55">
        <f>IFERROR(G11*'MRS(input_Option1)'!$F$41*$AB12/$AC12*'MRS(input_Option1)'!$F$63,0)</f>
        <v>0</v>
      </c>
      <c r="T12" s="55">
        <f>IFERROR(H11*'MRS(input_Option1)'!$F$42*$AB12/$AC12*'MRS(input_Option1)'!$F$64,0)</f>
        <v>0</v>
      </c>
      <c r="U12" s="55">
        <f>IFERROR(I11*'MRS(input_Option1)'!$F$43*$AB12/$AC12*'MRS(input_Option1)'!$F$65,0)</f>
        <v>0</v>
      </c>
      <c r="V12" s="55">
        <f>IFERROR(J11*'MRS(input_Option1)'!$F$44*$AB12/$AC12*'MRS(input_Option1)'!$F$66,0)</f>
        <v>0</v>
      </c>
      <c r="W12" s="55">
        <f>IFERROR(K11*'MRS(input_Option1)'!$F$45*$AB12/$AC12*'MRS(input_Option1)'!$F$67,0)</f>
        <v>0</v>
      </c>
      <c r="X12" s="55">
        <f>IFERROR(L11*'MRS(input_Option1)'!$F$46*$AB12/$AC12*'MRS(input_Option1)'!$F$68,0)</f>
        <v>0</v>
      </c>
      <c r="Y12" s="55">
        <f>IFERROR(M11*'MRS(input_Option1)'!$F$47*$AB12/$AC12*'MRS(input_Option1)'!$F$69,0)</f>
        <v>0</v>
      </c>
      <c r="Z12" s="55">
        <f t="shared" si="2"/>
        <v>0</v>
      </c>
      <c r="AA12" s="56">
        <f t="shared" si="3"/>
        <v>0</v>
      </c>
      <c r="AB12" s="46"/>
      <c r="AC12" s="46"/>
    </row>
    <row r="13" spans="1:29" x14ac:dyDescent="0.2">
      <c r="A13" s="215"/>
      <c r="B13" s="178">
        <f t="shared" si="0"/>
        <v>2023</v>
      </c>
      <c r="C13" s="55">
        <f>C12*(1-'MRS(input_Option1)'!$F$37)</f>
        <v>0</v>
      </c>
      <c r="D13" s="55">
        <f>D12*(1-'MRS(input_Option1)'!$F$38)</f>
        <v>0</v>
      </c>
      <c r="E13" s="55">
        <f>E12*(1-'MRS(input_Option1)'!$F$39)</f>
        <v>0</v>
      </c>
      <c r="F13" s="55">
        <f>F12*(1-'MRS(input_Option1)'!$F$40)</f>
        <v>0</v>
      </c>
      <c r="G13" s="55">
        <f>G12*(1-'MRS(input_Option1)'!$F$41)</f>
        <v>0</v>
      </c>
      <c r="H13" s="55">
        <f>H12*(1-'MRS(input_Option1)'!$F$42)</f>
        <v>0</v>
      </c>
      <c r="I13" s="55">
        <f>I12*(1-'MRS(input_Option1)'!$F$43)</f>
        <v>0</v>
      </c>
      <c r="J13" s="55">
        <f>J12*(1-'MRS(input_Option1)'!$F$44)</f>
        <v>0</v>
      </c>
      <c r="K13" s="55">
        <f>K12*(1-'MRS(input_Option1)'!$F$45)</f>
        <v>0</v>
      </c>
      <c r="L13" s="55">
        <f>L12*(1-'MRS(input_Option1)'!$F$46)</f>
        <v>0</v>
      </c>
      <c r="M13" s="55">
        <f>M12*(1-'MRS(input_Option1)'!$F$47)</f>
        <v>0</v>
      </c>
      <c r="N13" s="55">
        <f t="shared" si="1"/>
        <v>86737.90881420183</v>
      </c>
      <c r="O13" s="55">
        <f>IFERROR(C12*'MRS(input_Option1)'!$F$37*$AB13/$AC13*'MRS(input_Option1)'!$F$59,0)</f>
        <v>0</v>
      </c>
      <c r="P13" s="55">
        <f>IFERROR(D12*'MRS(input_Option1)'!$F$38*$AB13/$AC13*'MRS(input_Option1)'!$F$60,0)</f>
        <v>0</v>
      </c>
      <c r="Q13" s="55">
        <f>IFERROR(E12*'MRS(input_Option1)'!$F$39*$AB13/$AC13*'MRS(input_Option1)'!$F$61,0)</f>
        <v>0</v>
      </c>
      <c r="R13" s="55">
        <f>IFERROR(F12*'MRS(input_Option1)'!$F$40*$AB13/$AC13*'MRS(input_Option1)'!$F$62,0)</f>
        <v>0</v>
      </c>
      <c r="S13" s="55">
        <f>IFERROR(G12*'MRS(input_Option1)'!$F$41*$AB13/$AC13*'MRS(input_Option1)'!$F$63,0)</f>
        <v>0</v>
      </c>
      <c r="T13" s="55">
        <f>IFERROR(H12*'MRS(input_Option1)'!$F$42*$AB13/$AC13*'MRS(input_Option1)'!$F$64,0)</f>
        <v>0</v>
      </c>
      <c r="U13" s="55">
        <f>IFERROR(I12*'MRS(input_Option1)'!$F$43*$AB13/$AC13*'MRS(input_Option1)'!$F$65,0)</f>
        <v>0</v>
      </c>
      <c r="V13" s="55">
        <f>IFERROR(J12*'MRS(input_Option1)'!$F$44*$AB13/$AC13*'MRS(input_Option1)'!$F$66,0)</f>
        <v>0</v>
      </c>
      <c r="W13" s="55">
        <f>IFERROR(K12*'MRS(input_Option1)'!$F$45*$AB13/$AC13*'MRS(input_Option1)'!$F$67,0)</f>
        <v>0</v>
      </c>
      <c r="X13" s="55">
        <f>IFERROR(L12*'MRS(input_Option1)'!$F$46*$AB13/$AC13*'MRS(input_Option1)'!$F$68,0)</f>
        <v>0</v>
      </c>
      <c r="Y13" s="55">
        <f>IFERROR(M12*'MRS(input_Option1)'!$F$47*$AB13/$AC13*'MRS(input_Option1)'!$F$69,0)</f>
        <v>0</v>
      </c>
      <c r="Z13" s="55">
        <f t="shared" si="2"/>
        <v>0</v>
      </c>
      <c r="AA13" s="56">
        <f t="shared" si="3"/>
        <v>0</v>
      </c>
      <c r="AB13" s="46"/>
      <c r="AC13" s="46"/>
    </row>
    <row r="14" spans="1:29" x14ac:dyDescent="0.2">
      <c r="A14" s="215"/>
      <c r="B14" s="178">
        <f t="shared" si="0"/>
        <v>2024</v>
      </c>
      <c r="C14" s="55">
        <f>C13*(1-'MRS(input_Option1)'!$F$37)</f>
        <v>0</v>
      </c>
      <c r="D14" s="55">
        <f>D13*(1-'MRS(input_Option1)'!$F$38)</f>
        <v>0</v>
      </c>
      <c r="E14" s="55">
        <f>E13*(1-'MRS(input_Option1)'!$F$39)</f>
        <v>0</v>
      </c>
      <c r="F14" s="55">
        <f>F13*(1-'MRS(input_Option1)'!$F$40)</f>
        <v>0</v>
      </c>
      <c r="G14" s="55">
        <f>G13*(1-'MRS(input_Option1)'!$F$41)</f>
        <v>0</v>
      </c>
      <c r="H14" s="55">
        <f>H13*(1-'MRS(input_Option1)'!$F$42)</f>
        <v>0</v>
      </c>
      <c r="I14" s="55">
        <f>I13*(1-'MRS(input_Option1)'!$F$43)</f>
        <v>0</v>
      </c>
      <c r="J14" s="55">
        <f>J13*(1-'MRS(input_Option1)'!$F$44)</f>
        <v>0</v>
      </c>
      <c r="K14" s="55">
        <f>K13*(1-'MRS(input_Option1)'!$F$45)</f>
        <v>0</v>
      </c>
      <c r="L14" s="55">
        <f>L13*(1-'MRS(input_Option1)'!$F$46)</f>
        <v>0</v>
      </c>
      <c r="M14" s="55">
        <f>M13*(1-'MRS(input_Option1)'!$F$47)</f>
        <v>0</v>
      </c>
      <c r="N14" s="55">
        <f t="shared" si="1"/>
        <v>86737.90881420183</v>
      </c>
      <c r="O14" s="55">
        <f>IFERROR(C13*'MRS(input_Option1)'!$F$37*$AB14/$AC14*'MRS(input_Option1)'!$F$59,0)</f>
        <v>0</v>
      </c>
      <c r="P14" s="55">
        <f>IFERROR(D13*'MRS(input_Option1)'!$F$38*$AB14/$AC14*'MRS(input_Option1)'!$F$60,0)</f>
        <v>0</v>
      </c>
      <c r="Q14" s="55">
        <f>IFERROR(E13*'MRS(input_Option1)'!$F$39*$AB14/$AC14*'MRS(input_Option1)'!$F$61,0)</f>
        <v>0</v>
      </c>
      <c r="R14" s="55">
        <f>IFERROR(F13*'MRS(input_Option1)'!$F$40*$AB14/$AC14*'MRS(input_Option1)'!$F$62,0)</f>
        <v>0</v>
      </c>
      <c r="S14" s="55">
        <f>IFERROR(G13*'MRS(input_Option1)'!$F$41*$AB14/$AC14*'MRS(input_Option1)'!$F$63,0)</f>
        <v>0</v>
      </c>
      <c r="T14" s="55">
        <f>IFERROR(H13*'MRS(input_Option1)'!$F$42*$AB14/$AC14*'MRS(input_Option1)'!$F$64,0)</f>
        <v>0</v>
      </c>
      <c r="U14" s="55">
        <f>IFERROR(I13*'MRS(input_Option1)'!$F$43*$AB14/$AC14*'MRS(input_Option1)'!$F$65,0)</f>
        <v>0</v>
      </c>
      <c r="V14" s="55">
        <f>IFERROR(J13*'MRS(input_Option1)'!$F$44*$AB14/$AC14*'MRS(input_Option1)'!$F$66,0)</f>
        <v>0</v>
      </c>
      <c r="W14" s="55">
        <f>IFERROR(K13*'MRS(input_Option1)'!$F$45*$AB14/$AC14*'MRS(input_Option1)'!$F$67,0)</f>
        <v>0</v>
      </c>
      <c r="X14" s="55">
        <f>IFERROR(L13*'MRS(input_Option1)'!$F$46*$AB14/$AC14*'MRS(input_Option1)'!$F$68,0)</f>
        <v>0</v>
      </c>
      <c r="Y14" s="55">
        <f>IFERROR(M13*'MRS(input_Option1)'!$F$47*$AB14/$AC14*'MRS(input_Option1)'!$F$69,0)</f>
        <v>0</v>
      </c>
      <c r="Z14" s="55">
        <f t="shared" si="2"/>
        <v>0</v>
      </c>
      <c r="AA14" s="56">
        <f t="shared" si="3"/>
        <v>0</v>
      </c>
      <c r="AB14" s="46"/>
      <c r="AC14" s="46"/>
    </row>
    <row r="15" spans="1:29" x14ac:dyDescent="0.2">
      <c r="A15" s="215"/>
      <c r="B15" s="178">
        <f t="shared" si="0"/>
        <v>2025</v>
      </c>
      <c r="C15" s="55">
        <f>C14*(1-'MRS(input_Option1)'!$F$37)</f>
        <v>0</v>
      </c>
      <c r="D15" s="55">
        <f>D14*(1-'MRS(input_Option1)'!$F$38)</f>
        <v>0</v>
      </c>
      <c r="E15" s="55">
        <f>E14*(1-'MRS(input_Option1)'!$F$39)</f>
        <v>0</v>
      </c>
      <c r="F15" s="55">
        <f>F14*(1-'MRS(input_Option1)'!$F$40)</f>
        <v>0</v>
      </c>
      <c r="G15" s="55">
        <f>G14*(1-'MRS(input_Option1)'!$F$41)</f>
        <v>0</v>
      </c>
      <c r="H15" s="55">
        <f>H14*(1-'MRS(input_Option1)'!$F$42)</f>
        <v>0</v>
      </c>
      <c r="I15" s="55">
        <f>I14*(1-'MRS(input_Option1)'!$F$43)</f>
        <v>0</v>
      </c>
      <c r="J15" s="55">
        <f>J14*(1-'MRS(input_Option1)'!$F$44)</f>
        <v>0</v>
      </c>
      <c r="K15" s="55">
        <f>K14*(1-'MRS(input_Option1)'!$F$45)</f>
        <v>0</v>
      </c>
      <c r="L15" s="55">
        <f>L14*(1-'MRS(input_Option1)'!$F$46)</f>
        <v>0</v>
      </c>
      <c r="M15" s="55">
        <f>M14*(1-'MRS(input_Option1)'!$F$47)</f>
        <v>0</v>
      </c>
      <c r="N15" s="55">
        <f t="shared" si="1"/>
        <v>86737.90881420183</v>
      </c>
      <c r="O15" s="55">
        <f>IFERROR(C14*'MRS(input_Option1)'!$F$37*$AB15/$AC15*'MRS(input_Option1)'!$F$59,0)</f>
        <v>0</v>
      </c>
      <c r="P15" s="55">
        <f>IFERROR(D14*'MRS(input_Option1)'!$F$38*$AB15/$AC15*'MRS(input_Option1)'!$F$60,0)</f>
        <v>0</v>
      </c>
      <c r="Q15" s="55">
        <f>IFERROR(E14*'MRS(input_Option1)'!$F$39*$AB15/$AC15*'MRS(input_Option1)'!$F$61,0)</f>
        <v>0</v>
      </c>
      <c r="R15" s="55">
        <f>IFERROR(F14*'MRS(input_Option1)'!$F$40*$AB15/$AC15*'MRS(input_Option1)'!$F$62,0)</f>
        <v>0</v>
      </c>
      <c r="S15" s="55">
        <f>IFERROR(G14*'MRS(input_Option1)'!$F$41*$AB15/$AC15*'MRS(input_Option1)'!$F$63,0)</f>
        <v>0</v>
      </c>
      <c r="T15" s="55">
        <f>IFERROR(H14*'MRS(input_Option1)'!$F$42*$AB15/$AC15*'MRS(input_Option1)'!$F$64,0)</f>
        <v>0</v>
      </c>
      <c r="U15" s="55">
        <f>IFERROR(I14*'MRS(input_Option1)'!$F$43*$AB15/$AC15*'MRS(input_Option1)'!$F$65,0)</f>
        <v>0</v>
      </c>
      <c r="V15" s="55">
        <f>IFERROR(J14*'MRS(input_Option1)'!$F$44*$AB15/$AC15*'MRS(input_Option1)'!$F$66,0)</f>
        <v>0</v>
      </c>
      <c r="W15" s="55">
        <f>IFERROR(K14*'MRS(input_Option1)'!$F$45*$AB15/$AC15*'MRS(input_Option1)'!$F$67,0)</f>
        <v>0</v>
      </c>
      <c r="X15" s="55">
        <f>IFERROR(L14*'MRS(input_Option1)'!$F$46*$AB15/$AC15*'MRS(input_Option1)'!$F$68,0)</f>
        <v>0</v>
      </c>
      <c r="Y15" s="55">
        <f>IFERROR(M14*'MRS(input_Option1)'!$F$47*$AB15/$AC15*'MRS(input_Option1)'!$F$69,0)</f>
        <v>0</v>
      </c>
      <c r="Z15" s="55">
        <f t="shared" si="2"/>
        <v>0</v>
      </c>
      <c r="AA15" s="56">
        <f t="shared" si="3"/>
        <v>0</v>
      </c>
      <c r="AB15" s="46"/>
      <c r="AC15" s="46"/>
    </row>
    <row r="16" spans="1:29" x14ac:dyDescent="0.2">
      <c r="A16" s="215"/>
      <c r="B16" s="178">
        <f t="shared" si="0"/>
        <v>2026</v>
      </c>
      <c r="C16" s="55">
        <f>C15*(1-'MRS(input_Option1)'!$F$37)</f>
        <v>0</v>
      </c>
      <c r="D16" s="55">
        <f>D15*(1-'MRS(input_Option1)'!$F$38)</f>
        <v>0</v>
      </c>
      <c r="E16" s="55">
        <f>E15*(1-'MRS(input_Option1)'!$F$39)</f>
        <v>0</v>
      </c>
      <c r="F16" s="55">
        <f>F15*(1-'MRS(input_Option1)'!$F$40)</f>
        <v>0</v>
      </c>
      <c r="G16" s="55">
        <f>G15*(1-'MRS(input_Option1)'!$F$41)</f>
        <v>0</v>
      </c>
      <c r="H16" s="55">
        <f>H15*(1-'MRS(input_Option1)'!$F$42)</f>
        <v>0</v>
      </c>
      <c r="I16" s="55">
        <f>I15*(1-'MRS(input_Option1)'!$F$43)</f>
        <v>0</v>
      </c>
      <c r="J16" s="55">
        <f>J15*(1-'MRS(input_Option1)'!$F$44)</f>
        <v>0</v>
      </c>
      <c r="K16" s="55">
        <f>K15*(1-'MRS(input_Option1)'!$F$45)</f>
        <v>0</v>
      </c>
      <c r="L16" s="55">
        <f>L15*(1-'MRS(input_Option1)'!$F$46)</f>
        <v>0</v>
      </c>
      <c r="M16" s="55">
        <f>M15*(1-'MRS(input_Option1)'!$F$47)</f>
        <v>0</v>
      </c>
      <c r="N16" s="55">
        <f t="shared" si="1"/>
        <v>86737.90881420183</v>
      </c>
      <c r="O16" s="55">
        <f>IFERROR(C15*'MRS(input_Option1)'!$F$37*$AB16/$AC16*'MRS(input_Option1)'!$F$59,0)</f>
        <v>0</v>
      </c>
      <c r="P16" s="55">
        <f>IFERROR(D15*'MRS(input_Option1)'!$F$38*$AB16/$AC16*'MRS(input_Option1)'!$F$60,0)</f>
        <v>0</v>
      </c>
      <c r="Q16" s="55">
        <f>IFERROR(E15*'MRS(input_Option1)'!$F$39*$AB16/$AC16*'MRS(input_Option1)'!$F$61,0)</f>
        <v>0</v>
      </c>
      <c r="R16" s="55">
        <f>IFERROR(F15*'MRS(input_Option1)'!$F$40*$AB16/$AC16*'MRS(input_Option1)'!$F$62,0)</f>
        <v>0</v>
      </c>
      <c r="S16" s="55">
        <f>IFERROR(G15*'MRS(input_Option1)'!$F$41*$AB16/$AC16*'MRS(input_Option1)'!$F$63,0)</f>
        <v>0</v>
      </c>
      <c r="T16" s="55">
        <f>IFERROR(H15*'MRS(input_Option1)'!$F$42*$AB16/$AC16*'MRS(input_Option1)'!$F$64,0)</f>
        <v>0</v>
      </c>
      <c r="U16" s="55">
        <f>IFERROR(I15*'MRS(input_Option1)'!$F$43*$AB16/$AC16*'MRS(input_Option1)'!$F$65,0)</f>
        <v>0</v>
      </c>
      <c r="V16" s="55">
        <f>IFERROR(J15*'MRS(input_Option1)'!$F$44*$AB16/$AC16*'MRS(input_Option1)'!$F$66,0)</f>
        <v>0</v>
      </c>
      <c r="W16" s="55">
        <f>IFERROR(K15*'MRS(input_Option1)'!$F$45*$AB16/$AC16*'MRS(input_Option1)'!$F$67,0)</f>
        <v>0</v>
      </c>
      <c r="X16" s="55">
        <f>IFERROR(L15*'MRS(input_Option1)'!$F$46*$AB16/$AC16*'MRS(input_Option1)'!$F$68,0)</f>
        <v>0</v>
      </c>
      <c r="Y16" s="55">
        <f>IFERROR(M15*'MRS(input_Option1)'!$F$47*$AB16/$AC16*'MRS(input_Option1)'!$F$69,0)</f>
        <v>0</v>
      </c>
      <c r="Z16" s="55">
        <f t="shared" si="2"/>
        <v>0</v>
      </c>
      <c r="AA16" s="56">
        <f t="shared" si="3"/>
        <v>0</v>
      </c>
      <c r="AB16" s="46"/>
      <c r="AC16" s="46"/>
    </row>
    <row r="17" spans="1:29" x14ac:dyDescent="0.2">
      <c r="A17" s="215"/>
      <c r="B17" s="178">
        <f t="shared" si="0"/>
        <v>2027</v>
      </c>
      <c r="C17" s="55">
        <f>C16*(1-'MRS(input_Option1)'!$F$37)</f>
        <v>0</v>
      </c>
      <c r="D17" s="55">
        <f>D16*(1-'MRS(input_Option1)'!$F$38)</f>
        <v>0</v>
      </c>
      <c r="E17" s="55">
        <f>E16*(1-'MRS(input_Option1)'!$F$39)</f>
        <v>0</v>
      </c>
      <c r="F17" s="55">
        <f>F16*(1-'MRS(input_Option1)'!$F$40)</f>
        <v>0</v>
      </c>
      <c r="G17" s="55">
        <f>G16*(1-'MRS(input_Option1)'!$F$41)</f>
        <v>0</v>
      </c>
      <c r="H17" s="55">
        <f>H16*(1-'MRS(input_Option1)'!$F$42)</f>
        <v>0</v>
      </c>
      <c r="I17" s="55">
        <f>I16*(1-'MRS(input_Option1)'!$F$43)</f>
        <v>0</v>
      </c>
      <c r="J17" s="55">
        <f>J16*(1-'MRS(input_Option1)'!$F$44)</f>
        <v>0</v>
      </c>
      <c r="K17" s="55">
        <f>K16*(1-'MRS(input_Option1)'!$F$45)</f>
        <v>0</v>
      </c>
      <c r="L17" s="55">
        <f>L16*(1-'MRS(input_Option1)'!$F$46)</f>
        <v>0</v>
      </c>
      <c r="M17" s="55">
        <f>M16*(1-'MRS(input_Option1)'!$F$47)</f>
        <v>0</v>
      </c>
      <c r="N17" s="55">
        <f t="shared" si="1"/>
        <v>86737.90881420183</v>
      </c>
      <c r="O17" s="55">
        <f>IFERROR(C16*'MRS(input_Option1)'!$F$37*$AB17/$AC17*'MRS(input_Option1)'!$F$59,0)</f>
        <v>0</v>
      </c>
      <c r="P17" s="55">
        <f>IFERROR(D16*'MRS(input_Option1)'!$F$38*$AB17/$AC17*'MRS(input_Option1)'!$F$60,0)</f>
        <v>0</v>
      </c>
      <c r="Q17" s="55">
        <f>IFERROR(E16*'MRS(input_Option1)'!$F$39*$AB17/$AC17*'MRS(input_Option1)'!$F$61,0)</f>
        <v>0</v>
      </c>
      <c r="R17" s="55">
        <f>IFERROR(F16*'MRS(input_Option1)'!$F$40*$AB17/$AC17*'MRS(input_Option1)'!$F$62,0)</f>
        <v>0</v>
      </c>
      <c r="S17" s="55">
        <f>IFERROR(G16*'MRS(input_Option1)'!$F$41*$AB17/$AC17*'MRS(input_Option1)'!$F$63,0)</f>
        <v>0</v>
      </c>
      <c r="T17" s="55">
        <f>IFERROR(H16*'MRS(input_Option1)'!$F$42*$AB17/$AC17*'MRS(input_Option1)'!$F$64,0)</f>
        <v>0</v>
      </c>
      <c r="U17" s="55">
        <f>IFERROR(I16*'MRS(input_Option1)'!$F$43*$AB17/$AC17*'MRS(input_Option1)'!$F$65,0)</f>
        <v>0</v>
      </c>
      <c r="V17" s="55">
        <f>IFERROR(J16*'MRS(input_Option1)'!$F$44*$AB17/$AC17*'MRS(input_Option1)'!$F$66,0)</f>
        <v>0</v>
      </c>
      <c r="W17" s="55">
        <f>IFERROR(K16*'MRS(input_Option1)'!$F$45*$AB17/$AC17*'MRS(input_Option1)'!$F$67,0)</f>
        <v>0</v>
      </c>
      <c r="X17" s="55">
        <f>IFERROR(L16*'MRS(input_Option1)'!$F$46*$AB17/$AC17*'MRS(input_Option1)'!$F$68,0)</f>
        <v>0</v>
      </c>
      <c r="Y17" s="55">
        <f>IFERROR(M16*'MRS(input_Option1)'!$F$47*$AB17/$AC17*'MRS(input_Option1)'!$F$69,0)</f>
        <v>0</v>
      </c>
      <c r="Z17" s="55">
        <f t="shared" si="2"/>
        <v>0</v>
      </c>
      <c r="AA17" s="56">
        <f t="shared" si="3"/>
        <v>0</v>
      </c>
      <c r="AB17" s="46"/>
      <c r="AC17" s="46"/>
    </row>
    <row r="18" spans="1:29" x14ac:dyDescent="0.2">
      <c r="A18" s="215"/>
      <c r="B18" s="178">
        <f t="shared" si="0"/>
        <v>2028</v>
      </c>
      <c r="C18" s="55">
        <f>C17*(1-'MRS(input_Option1)'!$F$37)</f>
        <v>0</v>
      </c>
      <c r="D18" s="55">
        <f>D17*(1-'MRS(input_Option1)'!$F$38)</f>
        <v>0</v>
      </c>
      <c r="E18" s="55">
        <f>E17*(1-'MRS(input_Option1)'!$F$39)</f>
        <v>0</v>
      </c>
      <c r="F18" s="55">
        <f>F17*(1-'MRS(input_Option1)'!$F$40)</f>
        <v>0</v>
      </c>
      <c r="G18" s="55">
        <f>G17*(1-'MRS(input_Option1)'!$F$41)</f>
        <v>0</v>
      </c>
      <c r="H18" s="55">
        <f>H17*(1-'MRS(input_Option1)'!$F$42)</f>
        <v>0</v>
      </c>
      <c r="I18" s="55">
        <f>I17*(1-'MRS(input_Option1)'!$F$43)</f>
        <v>0</v>
      </c>
      <c r="J18" s="55">
        <f>J17*(1-'MRS(input_Option1)'!$F$44)</f>
        <v>0</v>
      </c>
      <c r="K18" s="55">
        <f>K17*(1-'MRS(input_Option1)'!$F$45)</f>
        <v>0</v>
      </c>
      <c r="L18" s="55">
        <f>L17*(1-'MRS(input_Option1)'!$F$46)</f>
        <v>0</v>
      </c>
      <c r="M18" s="55">
        <f>M17*(1-'MRS(input_Option1)'!$F$47)</f>
        <v>0</v>
      </c>
      <c r="N18" s="55">
        <f t="shared" si="1"/>
        <v>86737.90881420183</v>
      </c>
      <c r="O18" s="55">
        <f>IFERROR(C17*'MRS(input_Option1)'!$F$37*$AB18/$AC18*'MRS(input_Option1)'!$F$59,0)</f>
        <v>0</v>
      </c>
      <c r="P18" s="55">
        <f>IFERROR(D17*'MRS(input_Option1)'!$F$38*$AB18/$AC18*'MRS(input_Option1)'!$F$60,0)</f>
        <v>0</v>
      </c>
      <c r="Q18" s="55">
        <f>IFERROR(E17*'MRS(input_Option1)'!$F$39*$AB18/$AC18*'MRS(input_Option1)'!$F$61,0)</f>
        <v>0</v>
      </c>
      <c r="R18" s="55">
        <f>IFERROR(F17*'MRS(input_Option1)'!$F$40*$AB18/$AC18*'MRS(input_Option1)'!$F$62,0)</f>
        <v>0</v>
      </c>
      <c r="S18" s="55">
        <f>IFERROR(G17*'MRS(input_Option1)'!$F$41*$AB18/$AC18*'MRS(input_Option1)'!$F$63,0)</f>
        <v>0</v>
      </c>
      <c r="T18" s="55">
        <f>IFERROR(H17*'MRS(input_Option1)'!$F$42*$AB18/$AC18*'MRS(input_Option1)'!$F$64,0)</f>
        <v>0</v>
      </c>
      <c r="U18" s="55">
        <f>IFERROR(I17*'MRS(input_Option1)'!$F$43*$AB18/$AC18*'MRS(input_Option1)'!$F$65,0)</f>
        <v>0</v>
      </c>
      <c r="V18" s="55">
        <f>IFERROR(J17*'MRS(input_Option1)'!$F$44*$AB18/$AC18*'MRS(input_Option1)'!$F$66,0)</f>
        <v>0</v>
      </c>
      <c r="W18" s="55">
        <f>IFERROR(K17*'MRS(input_Option1)'!$F$45*$AB18/$AC18*'MRS(input_Option1)'!$F$67,0)</f>
        <v>0</v>
      </c>
      <c r="X18" s="55">
        <f>IFERROR(L17*'MRS(input_Option1)'!$F$46*$AB18/$AC18*'MRS(input_Option1)'!$F$68,0)</f>
        <v>0</v>
      </c>
      <c r="Y18" s="55">
        <f>IFERROR(M17*'MRS(input_Option1)'!$F$47*$AB18/$AC18*'MRS(input_Option1)'!$F$69,0)</f>
        <v>0</v>
      </c>
      <c r="Z18" s="55">
        <f t="shared" si="2"/>
        <v>0</v>
      </c>
      <c r="AA18" s="56">
        <f t="shared" si="3"/>
        <v>0</v>
      </c>
      <c r="AB18" s="46"/>
      <c r="AC18" s="46"/>
    </row>
    <row r="19" spans="1:29" x14ac:dyDescent="0.2">
      <c r="A19" s="216"/>
      <c r="B19" s="178">
        <f t="shared" si="0"/>
        <v>2029</v>
      </c>
      <c r="C19" s="55">
        <f>C18*(1-'MRS(input_Option1)'!$F$37)</f>
        <v>0</v>
      </c>
      <c r="D19" s="55">
        <f>D18*(1-'MRS(input_Option1)'!$F$38)</f>
        <v>0</v>
      </c>
      <c r="E19" s="55">
        <f>E18*(1-'MRS(input_Option1)'!$F$39)</f>
        <v>0</v>
      </c>
      <c r="F19" s="55">
        <f>F18*(1-'MRS(input_Option1)'!$F$40)</f>
        <v>0</v>
      </c>
      <c r="G19" s="55">
        <f>G18*(1-'MRS(input_Option1)'!$F$41)</f>
        <v>0</v>
      </c>
      <c r="H19" s="55">
        <f>H18*(1-'MRS(input_Option1)'!$F$42)</f>
        <v>0</v>
      </c>
      <c r="I19" s="55">
        <f>I18*(1-'MRS(input_Option1)'!$F$43)</f>
        <v>0</v>
      </c>
      <c r="J19" s="55">
        <f>J18*(1-'MRS(input_Option1)'!$F$44)</f>
        <v>0</v>
      </c>
      <c r="K19" s="55">
        <f>K18*(1-'MRS(input_Option1)'!$F$45)</f>
        <v>0</v>
      </c>
      <c r="L19" s="55">
        <f>L18*(1-'MRS(input_Option1)'!$F$46)</f>
        <v>0</v>
      </c>
      <c r="M19" s="55">
        <f>M18*(1-'MRS(input_Option1)'!$F$47)</f>
        <v>0</v>
      </c>
      <c r="N19" s="55">
        <f t="shared" si="1"/>
        <v>86737.90881420183</v>
      </c>
      <c r="O19" s="55">
        <f>IFERROR(C18*'MRS(input_Option1)'!$F$37*$AB19/$AC19*'MRS(input_Option1)'!$F$59,0)</f>
        <v>0</v>
      </c>
      <c r="P19" s="55">
        <f>IFERROR(D18*'MRS(input_Option1)'!$F$38*$AB19/$AC19*'MRS(input_Option1)'!$F$60,0)</f>
        <v>0</v>
      </c>
      <c r="Q19" s="55">
        <f>IFERROR(E18*'MRS(input_Option1)'!$F$39*$AB19/$AC19*'MRS(input_Option1)'!$F$61,0)</f>
        <v>0</v>
      </c>
      <c r="R19" s="55">
        <f>IFERROR(F18*'MRS(input_Option1)'!$F$40*$AB19/$AC19*'MRS(input_Option1)'!$F$62,0)</f>
        <v>0</v>
      </c>
      <c r="S19" s="55">
        <f>IFERROR(G18*'MRS(input_Option1)'!$F$41*$AB19/$AC19*'MRS(input_Option1)'!$F$63,0)</f>
        <v>0</v>
      </c>
      <c r="T19" s="55">
        <f>IFERROR(H18*'MRS(input_Option1)'!$F$42*$AB19/$AC19*'MRS(input_Option1)'!$F$64,0)</f>
        <v>0</v>
      </c>
      <c r="U19" s="55">
        <f>IFERROR(I18*'MRS(input_Option1)'!$F$43*$AB19/$AC19*'MRS(input_Option1)'!$F$65,0)</f>
        <v>0</v>
      </c>
      <c r="V19" s="55">
        <f>IFERROR(J18*'MRS(input_Option1)'!$F$44*$AB19/$AC19*'MRS(input_Option1)'!$F$66,0)</f>
        <v>0</v>
      </c>
      <c r="W19" s="55">
        <f>IFERROR(K18*'MRS(input_Option1)'!$F$45*$AB19/$AC19*'MRS(input_Option1)'!$F$67,0)</f>
        <v>0</v>
      </c>
      <c r="X19" s="55">
        <f>IFERROR(L18*'MRS(input_Option1)'!$F$46*$AB19/$AC19*'MRS(input_Option1)'!$F$68,0)</f>
        <v>0</v>
      </c>
      <c r="Y19" s="55">
        <f>IFERROR(M18*'MRS(input_Option1)'!$F$47*$AB19/$AC19*'MRS(input_Option1)'!$F$69,0)</f>
        <v>0</v>
      </c>
      <c r="Z19" s="55">
        <f t="shared" si="2"/>
        <v>0</v>
      </c>
      <c r="AA19" s="56">
        <f t="shared" si="3"/>
        <v>0</v>
      </c>
      <c r="AB19" s="46"/>
      <c r="AC19" s="46"/>
    </row>
    <row r="20" spans="1:29" x14ac:dyDescent="0.2">
      <c r="A20" s="57"/>
      <c r="B20" s="58" t="s">
        <v>259</v>
      </c>
      <c r="C20" s="59" t="s">
        <v>26</v>
      </c>
      <c r="D20" s="59" t="s">
        <v>26</v>
      </c>
      <c r="E20" s="59" t="s">
        <v>26</v>
      </c>
      <c r="F20" s="59" t="s">
        <v>26</v>
      </c>
      <c r="G20" s="59" t="s">
        <v>26</v>
      </c>
      <c r="H20" s="59" t="s">
        <v>26</v>
      </c>
      <c r="I20" s="59" t="s">
        <v>26</v>
      </c>
      <c r="J20" s="59" t="s">
        <v>26</v>
      </c>
      <c r="K20" s="59" t="s">
        <v>26</v>
      </c>
      <c r="L20" s="59" t="s">
        <v>26</v>
      </c>
      <c r="M20" s="59" t="s">
        <v>26</v>
      </c>
      <c r="N20" s="59" t="s">
        <v>26</v>
      </c>
      <c r="O20" s="59" t="s">
        <v>26</v>
      </c>
      <c r="P20" s="59" t="s">
        <v>26</v>
      </c>
      <c r="Q20" s="59" t="s">
        <v>26</v>
      </c>
      <c r="R20" s="59" t="s">
        <v>26</v>
      </c>
      <c r="S20" s="59" t="s">
        <v>26</v>
      </c>
      <c r="T20" s="59" t="s">
        <v>26</v>
      </c>
      <c r="U20" s="59" t="s">
        <v>26</v>
      </c>
      <c r="V20" s="59" t="s">
        <v>26</v>
      </c>
      <c r="W20" s="59" t="s">
        <v>26</v>
      </c>
      <c r="X20" s="59" t="s">
        <v>26</v>
      </c>
      <c r="Y20" s="59" t="s">
        <v>26</v>
      </c>
      <c r="Z20" s="59" t="s">
        <v>26</v>
      </c>
      <c r="AA20" s="56">
        <f>SUM(AA7:AA19)</f>
        <v>0</v>
      </c>
      <c r="AB20" s="59" t="s">
        <v>26</v>
      </c>
      <c r="AC20" s="59" t="s">
        <v>26</v>
      </c>
    </row>
    <row r="28" spans="1:29" x14ac:dyDescent="0.2">
      <c r="A28" s="2"/>
      <c r="B28" s="2"/>
    </row>
    <row r="29" spans="1:29" x14ac:dyDescent="0.2">
      <c r="A29" s="2"/>
      <c r="B29" s="2"/>
    </row>
    <row r="30" spans="1:29" x14ac:dyDescent="0.2">
      <c r="A30" s="2"/>
      <c r="B30" s="2"/>
    </row>
    <row r="31" spans="1:29" x14ac:dyDescent="0.2">
      <c r="A31" s="2"/>
      <c r="B31" s="2"/>
    </row>
    <row r="32" spans="1:29"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row r="40" spans="1:2" x14ac:dyDescent="0.2">
      <c r="A40" s="2"/>
      <c r="B40" s="2"/>
    </row>
    <row r="41" spans="1:2" x14ac:dyDescent="0.2">
      <c r="A41" s="2"/>
      <c r="B41" s="2"/>
    </row>
    <row r="42" spans="1:2" x14ac:dyDescent="0.2">
      <c r="A42" s="2"/>
      <c r="B42" s="2"/>
    </row>
  </sheetData>
  <sheetProtection formatCells="0" formatRows="0"/>
  <mergeCells count="11">
    <mergeCell ref="A5:B5"/>
    <mergeCell ref="C5:N5"/>
    <mergeCell ref="O5:Z5"/>
    <mergeCell ref="A6:B6"/>
    <mergeCell ref="A8:A19"/>
    <mergeCell ref="A3:B3"/>
    <mergeCell ref="C3:N3"/>
    <mergeCell ref="O3:Z3"/>
    <mergeCell ref="A4:B4"/>
    <mergeCell ref="C4:N4"/>
    <mergeCell ref="O4:Z4"/>
  </mergeCells>
  <phoneticPr fontId="9"/>
  <pageMargins left="0.7" right="0.7" top="0.75" bottom="0.75" header="0.3" footer="0.3"/>
  <pageSetup scale="2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F0A3-0639-460F-AD19-594E39889C1F}">
  <sheetPr>
    <tabColor theme="5" tint="0.39997558519241921"/>
  </sheetPr>
  <dimension ref="A1:BB141"/>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9.453125" style="1" customWidth="1"/>
    <col min="3" max="4" width="11.90625" style="47" customWidth="1"/>
    <col min="5" max="14" width="11.08984375" style="47" customWidth="1"/>
    <col min="15" max="49" width="11.08984375" style="1" customWidth="1"/>
    <col min="50" max="52" width="20" style="1" customWidth="1"/>
    <col min="53" max="53" width="11.08984375" style="1" customWidth="1"/>
    <col min="54" max="54" width="11" style="1" customWidth="1"/>
    <col min="55" max="112" width="6.6328125" style="1" customWidth="1"/>
    <col min="113" max="16384" width="8.90625" style="1"/>
  </cols>
  <sheetData>
    <row r="1" spans="1:52" x14ac:dyDescent="0.2">
      <c r="AZ1" s="3" t="str">
        <f>'MPS(input_Option1)'!K1</f>
        <v>Monitoring Spreadsheet: JCM_KH_AM004_ver01.1</v>
      </c>
    </row>
    <row r="2" spans="1:52" x14ac:dyDescent="0.2">
      <c r="AZ2" s="3" t="str">
        <f>'MPS(input_Option1)'!K2</f>
        <v>Reference Number: KH005</v>
      </c>
    </row>
    <row r="3" spans="1:52" x14ac:dyDescent="0.2">
      <c r="A3" s="74" t="s">
        <v>260</v>
      </c>
    </row>
    <row r="4" spans="1:52" x14ac:dyDescent="0.2">
      <c r="A4" s="213" t="s">
        <v>230</v>
      </c>
      <c r="B4" s="213"/>
      <c r="C4" s="211" t="s">
        <v>24</v>
      </c>
      <c r="D4" s="211"/>
      <c r="E4" s="211"/>
      <c r="F4" s="211"/>
      <c r="G4" s="211"/>
      <c r="H4" s="211"/>
      <c r="I4" s="211"/>
      <c r="J4" s="211"/>
      <c r="K4" s="211"/>
      <c r="L4" s="211"/>
      <c r="M4" s="211"/>
      <c r="N4" s="211"/>
      <c r="O4" s="212" t="s">
        <v>261</v>
      </c>
      <c r="P4" s="212"/>
      <c r="Q4" s="212"/>
      <c r="R4" s="212"/>
      <c r="S4" s="212"/>
      <c r="T4" s="212"/>
      <c r="U4" s="212"/>
      <c r="V4" s="212"/>
      <c r="W4" s="212"/>
      <c r="X4" s="212"/>
      <c r="Y4" s="212"/>
      <c r="Z4" s="212"/>
      <c r="AA4" s="212" t="s">
        <v>262</v>
      </c>
      <c r="AB4" s="212"/>
    </row>
    <row r="5" spans="1:52" ht="84.65" customHeight="1" x14ac:dyDescent="0.2">
      <c r="A5" s="213" t="s">
        <v>235</v>
      </c>
      <c r="B5" s="213"/>
      <c r="C5" s="211" t="s">
        <v>263</v>
      </c>
      <c r="D5" s="211"/>
      <c r="E5" s="211"/>
      <c r="F5" s="211"/>
      <c r="G5" s="211"/>
      <c r="H5" s="211"/>
      <c r="I5" s="211"/>
      <c r="J5" s="211"/>
      <c r="K5" s="211"/>
      <c r="L5" s="211"/>
      <c r="M5" s="211"/>
      <c r="N5" s="211"/>
      <c r="O5" s="212" t="s">
        <v>264</v>
      </c>
      <c r="P5" s="212"/>
      <c r="Q5" s="212"/>
      <c r="R5" s="212"/>
      <c r="S5" s="212"/>
      <c r="T5" s="212"/>
      <c r="U5" s="212"/>
      <c r="V5" s="212"/>
      <c r="W5" s="212"/>
      <c r="X5" s="212"/>
      <c r="Y5" s="212"/>
      <c r="Z5" s="212"/>
      <c r="AA5" s="212" t="s">
        <v>265</v>
      </c>
      <c r="AB5" s="212"/>
    </row>
    <row r="6" spans="1:52" x14ac:dyDescent="0.2">
      <c r="A6" s="213" t="s">
        <v>241</v>
      </c>
      <c r="B6" s="213"/>
      <c r="C6" s="211" t="s">
        <v>27</v>
      </c>
      <c r="D6" s="211"/>
      <c r="E6" s="211"/>
      <c r="F6" s="211"/>
      <c r="G6" s="211"/>
      <c r="H6" s="211"/>
      <c r="I6" s="211"/>
      <c r="J6" s="211"/>
      <c r="K6" s="211"/>
      <c r="L6" s="211"/>
      <c r="M6" s="211"/>
      <c r="N6" s="211"/>
      <c r="O6" s="212" t="s">
        <v>242</v>
      </c>
      <c r="P6" s="212"/>
      <c r="Q6" s="212"/>
      <c r="R6" s="212"/>
      <c r="S6" s="212"/>
      <c r="T6" s="212"/>
      <c r="U6" s="212"/>
      <c r="V6" s="212"/>
      <c r="W6" s="212"/>
      <c r="X6" s="212"/>
      <c r="Y6" s="212"/>
      <c r="Z6" s="212"/>
      <c r="AA6" s="212" t="s">
        <v>266</v>
      </c>
      <c r="AB6" s="212"/>
    </row>
    <row r="7" spans="1:52" ht="42" x14ac:dyDescent="0.2">
      <c r="A7" s="213" t="s">
        <v>245</v>
      </c>
      <c r="B7" s="213"/>
      <c r="C7" s="50" t="s">
        <v>246</v>
      </c>
      <c r="D7" s="50" t="s">
        <v>247</v>
      </c>
      <c r="E7" s="50" t="s">
        <v>248</v>
      </c>
      <c r="F7" s="50" t="s">
        <v>249</v>
      </c>
      <c r="G7" s="50" t="s">
        <v>250</v>
      </c>
      <c r="H7" s="50" t="s">
        <v>251</v>
      </c>
      <c r="I7" s="50" t="s">
        <v>252</v>
      </c>
      <c r="J7" s="50" t="s">
        <v>253</v>
      </c>
      <c r="K7" s="50" t="s">
        <v>254</v>
      </c>
      <c r="L7" s="50" t="s">
        <v>255</v>
      </c>
      <c r="M7" s="50" t="s">
        <v>256</v>
      </c>
      <c r="N7" s="50" t="s">
        <v>257</v>
      </c>
      <c r="O7" s="75" t="str">
        <f>C7</f>
        <v>Evergreen forest</v>
      </c>
      <c r="P7" s="75" t="str">
        <f t="shared" ref="P7:Z7" si="0">D7</f>
        <v>Semi-evergreen forest</v>
      </c>
      <c r="Q7" s="75" t="str">
        <f t="shared" si="0"/>
        <v>Pine forest</v>
      </c>
      <c r="R7" s="75" t="str">
        <f t="shared" si="0"/>
        <v>Deciduous forest</v>
      </c>
      <c r="S7" s="75" t="str">
        <f t="shared" si="0"/>
        <v>Bamboo</v>
      </c>
      <c r="T7" s="75" t="str">
        <f t="shared" si="0"/>
        <v>Mangrove</v>
      </c>
      <c r="U7" s="75" t="str">
        <f t="shared" si="0"/>
        <v>Rear Mangrove</v>
      </c>
      <c r="V7" s="75" t="str">
        <f t="shared" si="0"/>
        <v xml:space="preserve">Flooded forest </v>
      </c>
      <c r="W7" s="75" t="str">
        <f t="shared" si="0"/>
        <v xml:space="preserve">Forest regrowth </v>
      </c>
      <c r="X7" s="75" t="str">
        <f t="shared" si="0"/>
        <v>Tree plantation</v>
      </c>
      <c r="Y7" s="75" t="str">
        <f t="shared" si="0"/>
        <v>Pine plantation</v>
      </c>
      <c r="Z7" s="75" t="str">
        <f t="shared" si="0"/>
        <v>non forest</v>
      </c>
      <c r="AA7" s="212" t="s">
        <v>267</v>
      </c>
      <c r="AB7" s="212"/>
    </row>
    <row r="8" spans="1:52" x14ac:dyDescent="0.2">
      <c r="A8" s="243" t="s">
        <v>221</v>
      </c>
      <c r="B8" s="53">
        <f>'MRS(input_RL_Opt1)'!$B$8</f>
        <v>2018</v>
      </c>
      <c r="C8" s="60"/>
      <c r="D8" s="60"/>
      <c r="E8" s="60"/>
      <c r="F8" s="60"/>
      <c r="G8" s="60"/>
      <c r="H8" s="60"/>
      <c r="I8" s="60"/>
      <c r="J8" s="60"/>
      <c r="K8" s="60"/>
      <c r="L8" s="60"/>
      <c r="M8" s="60"/>
      <c r="N8" s="60"/>
      <c r="O8" s="50">
        <f>C8*'MRS(input_Option1)'!$F$59</f>
        <v>0</v>
      </c>
      <c r="P8" s="50">
        <f>D8*'MRS(input_Option1)'!$F$60</f>
        <v>0</v>
      </c>
      <c r="Q8" s="50">
        <f>E8*'MRS(input_Option1)'!$F$61</f>
        <v>0</v>
      </c>
      <c r="R8" s="50">
        <f>F8*'MRS(input_Option1)'!$F$62</f>
        <v>0</v>
      </c>
      <c r="S8" s="50">
        <f>G8*'MRS(input_Option1)'!$F$63</f>
        <v>0</v>
      </c>
      <c r="T8" s="50">
        <f>H8*'MRS(input_Option1)'!$F$64</f>
        <v>0</v>
      </c>
      <c r="U8" s="50">
        <f>I8*'MRS(input_Option1)'!$F$65</f>
        <v>0</v>
      </c>
      <c r="V8" s="50">
        <f>J8*'MRS(input_Option1)'!$F$66</f>
        <v>0</v>
      </c>
      <c r="W8" s="50">
        <f>K8*'MRS(input_Option1)'!$F$67</f>
        <v>0</v>
      </c>
      <c r="X8" s="50">
        <f>L8*'MRS(input_Option1)'!$F$68</f>
        <v>0</v>
      </c>
      <c r="Y8" s="50">
        <f>M8*'MRS(input_Option1)'!$F$69</f>
        <v>0</v>
      </c>
      <c r="Z8" s="50">
        <f>N8*0</f>
        <v>0</v>
      </c>
      <c r="AA8" s="229">
        <f>SUM(O8:Z8)</f>
        <v>0</v>
      </c>
      <c r="AB8" s="229"/>
    </row>
    <row r="9" spans="1:52" x14ac:dyDescent="0.2">
      <c r="A9" s="243"/>
      <c r="B9" s="53">
        <f>B8+1</f>
        <v>2019</v>
      </c>
      <c r="C9" s="60"/>
      <c r="D9" s="60"/>
      <c r="E9" s="60"/>
      <c r="F9" s="60"/>
      <c r="G9" s="60"/>
      <c r="H9" s="60"/>
      <c r="I9" s="60"/>
      <c r="J9" s="60"/>
      <c r="K9" s="60"/>
      <c r="L9" s="60"/>
      <c r="M9" s="60"/>
      <c r="N9" s="60"/>
      <c r="O9" s="50">
        <f>C9*'MRS(input_Option1)'!$F$59</f>
        <v>0</v>
      </c>
      <c r="P9" s="50">
        <f>D9*'MRS(input_Option1)'!$F$60</f>
        <v>0</v>
      </c>
      <c r="Q9" s="50">
        <f>E9*'MRS(input_Option1)'!$F$61</f>
        <v>0</v>
      </c>
      <c r="R9" s="50">
        <f>F9*'MRS(input_Option1)'!$F$62</f>
        <v>0</v>
      </c>
      <c r="S9" s="50">
        <f>G9*'MRS(input_Option1)'!$F$63</f>
        <v>0</v>
      </c>
      <c r="T9" s="50">
        <f>H9*'MRS(input_Option1)'!$F$64</f>
        <v>0</v>
      </c>
      <c r="U9" s="50">
        <f>I9*'MRS(input_Option1)'!$F$65</f>
        <v>0</v>
      </c>
      <c r="V9" s="50">
        <f>J9*'MRS(input_Option1)'!$F$66</f>
        <v>0</v>
      </c>
      <c r="W9" s="50">
        <f>K9*'MRS(input_Option1)'!$F$67</f>
        <v>0</v>
      </c>
      <c r="X9" s="50">
        <f>L9*'MRS(input_Option1)'!$F$68</f>
        <v>0</v>
      </c>
      <c r="Y9" s="50">
        <f>M9*'MRS(input_Option1)'!$F$69</f>
        <v>0</v>
      </c>
      <c r="Z9" s="50">
        <f t="shared" ref="Z9:Z19" si="1">N9*0</f>
        <v>0</v>
      </c>
      <c r="AA9" s="229">
        <f t="shared" ref="AA9:AA19" si="2">SUM(O9:Z9)</f>
        <v>0</v>
      </c>
      <c r="AB9" s="229"/>
    </row>
    <row r="10" spans="1:52" x14ac:dyDescent="0.2">
      <c r="A10" s="243"/>
      <c r="B10" s="53">
        <f t="shared" ref="B10:B19" si="3">B9+1</f>
        <v>2020</v>
      </c>
      <c r="C10" s="60"/>
      <c r="D10" s="60"/>
      <c r="E10" s="60"/>
      <c r="F10" s="60"/>
      <c r="G10" s="60"/>
      <c r="H10" s="60"/>
      <c r="I10" s="60"/>
      <c r="J10" s="60"/>
      <c r="K10" s="60"/>
      <c r="L10" s="60"/>
      <c r="M10" s="60"/>
      <c r="N10" s="60"/>
      <c r="O10" s="50">
        <f>C10*'MRS(input_Option1)'!$F$59</f>
        <v>0</v>
      </c>
      <c r="P10" s="50">
        <f>D10*'MRS(input_Option1)'!$F$60</f>
        <v>0</v>
      </c>
      <c r="Q10" s="50">
        <f>E10*'MRS(input_Option1)'!$F$61</f>
        <v>0</v>
      </c>
      <c r="R10" s="50">
        <f>F10*'MRS(input_Option1)'!$F$62</f>
        <v>0</v>
      </c>
      <c r="S10" s="50">
        <f>G10*'MRS(input_Option1)'!$F$63</f>
        <v>0</v>
      </c>
      <c r="T10" s="50">
        <f>H10*'MRS(input_Option1)'!$F$64</f>
        <v>0</v>
      </c>
      <c r="U10" s="50">
        <f>I10*'MRS(input_Option1)'!$F$65</f>
        <v>0</v>
      </c>
      <c r="V10" s="50">
        <f>J10*'MRS(input_Option1)'!$F$66</f>
        <v>0</v>
      </c>
      <c r="W10" s="50">
        <f>K10*'MRS(input_Option1)'!$F$67</f>
        <v>0</v>
      </c>
      <c r="X10" s="50">
        <f>L10*'MRS(input_Option1)'!$F$68</f>
        <v>0</v>
      </c>
      <c r="Y10" s="50">
        <f>M10*'MRS(input_Option1)'!$F$69</f>
        <v>0</v>
      </c>
      <c r="Z10" s="50">
        <f t="shared" si="1"/>
        <v>0</v>
      </c>
      <c r="AA10" s="229">
        <f t="shared" si="2"/>
        <v>0</v>
      </c>
      <c r="AB10" s="229"/>
    </row>
    <row r="11" spans="1:52" x14ac:dyDescent="0.2">
      <c r="A11" s="243"/>
      <c r="B11" s="53">
        <f t="shared" si="3"/>
        <v>2021</v>
      </c>
      <c r="C11" s="60"/>
      <c r="D11" s="60"/>
      <c r="E11" s="60"/>
      <c r="F11" s="60"/>
      <c r="G11" s="60"/>
      <c r="H11" s="60"/>
      <c r="I11" s="60"/>
      <c r="J11" s="60"/>
      <c r="K11" s="60"/>
      <c r="L11" s="60"/>
      <c r="M11" s="60"/>
      <c r="N11" s="60"/>
      <c r="O11" s="50">
        <f>C11*'MRS(input_Option1)'!$F$59</f>
        <v>0</v>
      </c>
      <c r="P11" s="50">
        <f>D11*'MRS(input_Option1)'!$F$60</f>
        <v>0</v>
      </c>
      <c r="Q11" s="50">
        <f>E11*'MRS(input_Option1)'!$F$61</f>
        <v>0</v>
      </c>
      <c r="R11" s="50">
        <f>F11*'MRS(input_Option1)'!$F$62</f>
        <v>0</v>
      </c>
      <c r="S11" s="50">
        <f>G11*'MRS(input_Option1)'!$F$63</f>
        <v>0</v>
      </c>
      <c r="T11" s="50">
        <f>H11*'MRS(input_Option1)'!$F$64</f>
        <v>0</v>
      </c>
      <c r="U11" s="50">
        <f>I11*'MRS(input_Option1)'!$F$65</f>
        <v>0</v>
      </c>
      <c r="V11" s="50">
        <f>J11*'MRS(input_Option1)'!$F$66</f>
        <v>0</v>
      </c>
      <c r="W11" s="50">
        <f>K11*'MRS(input_Option1)'!$F$67</f>
        <v>0</v>
      </c>
      <c r="X11" s="50">
        <f>L11*'MRS(input_Option1)'!$F$68</f>
        <v>0</v>
      </c>
      <c r="Y11" s="50">
        <f>M11*'MRS(input_Option1)'!$F$69</f>
        <v>0</v>
      </c>
      <c r="Z11" s="50">
        <f t="shared" si="1"/>
        <v>0</v>
      </c>
      <c r="AA11" s="229">
        <f t="shared" si="2"/>
        <v>0</v>
      </c>
      <c r="AB11" s="229"/>
    </row>
    <row r="12" spans="1:52" x14ac:dyDescent="0.2">
      <c r="A12" s="243"/>
      <c r="B12" s="53">
        <f t="shared" si="3"/>
        <v>2022</v>
      </c>
      <c r="C12" s="60"/>
      <c r="D12" s="60"/>
      <c r="E12" s="60"/>
      <c r="F12" s="60"/>
      <c r="G12" s="60"/>
      <c r="H12" s="60"/>
      <c r="I12" s="60"/>
      <c r="J12" s="60"/>
      <c r="K12" s="60"/>
      <c r="L12" s="60"/>
      <c r="M12" s="60"/>
      <c r="N12" s="60"/>
      <c r="O12" s="50">
        <f>C12*'MRS(input_Option1)'!$F$59</f>
        <v>0</v>
      </c>
      <c r="P12" s="50">
        <f>D12*'MRS(input_Option1)'!$F$60</f>
        <v>0</v>
      </c>
      <c r="Q12" s="50">
        <f>E12*'MRS(input_Option1)'!$F$61</f>
        <v>0</v>
      </c>
      <c r="R12" s="50">
        <f>F12*'MRS(input_Option1)'!$F$62</f>
        <v>0</v>
      </c>
      <c r="S12" s="50">
        <f>G12*'MRS(input_Option1)'!$F$63</f>
        <v>0</v>
      </c>
      <c r="T12" s="50">
        <f>H12*'MRS(input_Option1)'!$F$64</f>
        <v>0</v>
      </c>
      <c r="U12" s="50">
        <f>I12*'MRS(input_Option1)'!$F$65</f>
        <v>0</v>
      </c>
      <c r="V12" s="50">
        <f>J12*'MRS(input_Option1)'!$F$66</f>
        <v>0</v>
      </c>
      <c r="W12" s="50">
        <f>K12*'MRS(input_Option1)'!$F$67</f>
        <v>0</v>
      </c>
      <c r="X12" s="50">
        <f>L12*'MRS(input_Option1)'!$F$68</f>
        <v>0</v>
      </c>
      <c r="Y12" s="50">
        <f>M12*'MRS(input_Option1)'!$F$69</f>
        <v>0</v>
      </c>
      <c r="Z12" s="50">
        <f t="shared" si="1"/>
        <v>0</v>
      </c>
      <c r="AA12" s="229">
        <f t="shared" si="2"/>
        <v>0</v>
      </c>
      <c r="AB12" s="229"/>
    </row>
    <row r="13" spans="1:52" x14ac:dyDescent="0.2">
      <c r="A13" s="243"/>
      <c r="B13" s="53">
        <f t="shared" si="3"/>
        <v>2023</v>
      </c>
      <c r="C13" s="60"/>
      <c r="D13" s="60"/>
      <c r="E13" s="60"/>
      <c r="F13" s="60"/>
      <c r="G13" s="60"/>
      <c r="H13" s="60"/>
      <c r="I13" s="60"/>
      <c r="J13" s="60"/>
      <c r="K13" s="60"/>
      <c r="L13" s="60"/>
      <c r="M13" s="60"/>
      <c r="N13" s="60"/>
      <c r="O13" s="50">
        <f>C13*'MRS(input_Option1)'!$F$59</f>
        <v>0</v>
      </c>
      <c r="P13" s="50">
        <f>D13*'MRS(input_Option1)'!$F$60</f>
        <v>0</v>
      </c>
      <c r="Q13" s="50">
        <f>E13*'MRS(input_Option1)'!$F$61</f>
        <v>0</v>
      </c>
      <c r="R13" s="50">
        <f>F13*'MRS(input_Option1)'!$F$62</f>
        <v>0</v>
      </c>
      <c r="S13" s="50">
        <f>G13*'MRS(input_Option1)'!$F$63</f>
        <v>0</v>
      </c>
      <c r="T13" s="50">
        <f>H13*'MRS(input_Option1)'!$F$64</f>
        <v>0</v>
      </c>
      <c r="U13" s="50">
        <f>I13*'MRS(input_Option1)'!$F$65</f>
        <v>0</v>
      </c>
      <c r="V13" s="50">
        <f>J13*'MRS(input_Option1)'!$F$66</f>
        <v>0</v>
      </c>
      <c r="W13" s="50">
        <f>K13*'MRS(input_Option1)'!$F$67</f>
        <v>0</v>
      </c>
      <c r="X13" s="50">
        <f>L13*'MRS(input_Option1)'!$F$68</f>
        <v>0</v>
      </c>
      <c r="Y13" s="50">
        <f>M13*'MRS(input_Option1)'!$F$69</f>
        <v>0</v>
      </c>
      <c r="Z13" s="50">
        <f t="shared" si="1"/>
        <v>0</v>
      </c>
      <c r="AA13" s="229">
        <f t="shared" si="2"/>
        <v>0</v>
      </c>
      <c r="AB13" s="229"/>
    </row>
    <row r="14" spans="1:52" x14ac:dyDescent="0.2">
      <c r="A14" s="243"/>
      <c r="B14" s="53">
        <f t="shared" si="3"/>
        <v>2024</v>
      </c>
      <c r="C14" s="60"/>
      <c r="D14" s="60"/>
      <c r="E14" s="60"/>
      <c r="F14" s="60"/>
      <c r="G14" s="60"/>
      <c r="H14" s="60"/>
      <c r="I14" s="60"/>
      <c r="J14" s="60"/>
      <c r="K14" s="60"/>
      <c r="L14" s="60"/>
      <c r="M14" s="60"/>
      <c r="N14" s="60"/>
      <c r="O14" s="50">
        <f>C14*'MRS(input_Option1)'!$F$59</f>
        <v>0</v>
      </c>
      <c r="P14" s="50">
        <f>D14*'MRS(input_Option1)'!$F$60</f>
        <v>0</v>
      </c>
      <c r="Q14" s="50">
        <f>E14*'MRS(input_Option1)'!$F$61</f>
        <v>0</v>
      </c>
      <c r="R14" s="50">
        <f>F14*'MRS(input_Option1)'!$F$62</f>
        <v>0</v>
      </c>
      <c r="S14" s="50">
        <f>G14*'MRS(input_Option1)'!$F$63</f>
        <v>0</v>
      </c>
      <c r="T14" s="50">
        <f>H14*'MRS(input_Option1)'!$F$64</f>
        <v>0</v>
      </c>
      <c r="U14" s="50">
        <f>I14*'MRS(input_Option1)'!$F$65</f>
        <v>0</v>
      </c>
      <c r="V14" s="50">
        <f>J14*'MRS(input_Option1)'!$F$66</f>
        <v>0</v>
      </c>
      <c r="W14" s="50">
        <f>K14*'MRS(input_Option1)'!$F$67</f>
        <v>0</v>
      </c>
      <c r="X14" s="50">
        <f>L14*'MRS(input_Option1)'!$F$68</f>
        <v>0</v>
      </c>
      <c r="Y14" s="50">
        <f>M14*'MRS(input_Option1)'!$F$69</f>
        <v>0</v>
      </c>
      <c r="Z14" s="50">
        <f t="shared" si="1"/>
        <v>0</v>
      </c>
      <c r="AA14" s="229">
        <f t="shared" si="2"/>
        <v>0</v>
      </c>
      <c r="AB14" s="229"/>
    </row>
    <row r="15" spans="1:52" x14ac:dyDescent="0.2">
      <c r="A15" s="243"/>
      <c r="B15" s="53">
        <f t="shared" si="3"/>
        <v>2025</v>
      </c>
      <c r="C15" s="60"/>
      <c r="D15" s="60"/>
      <c r="E15" s="60"/>
      <c r="F15" s="60"/>
      <c r="G15" s="60"/>
      <c r="H15" s="60"/>
      <c r="I15" s="60"/>
      <c r="J15" s="60"/>
      <c r="K15" s="60"/>
      <c r="L15" s="60"/>
      <c r="M15" s="60"/>
      <c r="N15" s="60"/>
      <c r="O15" s="50">
        <f>C15*'MRS(input_Option1)'!$F$59</f>
        <v>0</v>
      </c>
      <c r="P15" s="50">
        <f>D15*'MRS(input_Option1)'!$F$60</f>
        <v>0</v>
      </c>
      <c r="Q15" s="50">
        <f>E15*'MRS(input_Option1)'!$F$61</f>
        <v>0</v>
      </c>
      <c r="R15" s="50">
        <f>F15*'MRS(input_Option1)'!$F$62</f>
        <v>0</v>
      </c>
      <c r="S15" s="50">
        <f>G15*'MRS(input_Option1)'!$F$63</f>
        <v>0</v>
      </c>
      <c r="T15" s="50">
        <f>H15*'MRS(input_Option1)'!$F$64</f>
        <v>0</v>
      </c>
      <c r="U15" s="50">
        <f>I15*'MRS(input_Option1)'!$F$65</f>
        <v>0</v>
      </c>
      <c r="V15" s="50">
        <f>J15*'MRS(input_Option1)'!$F$66</f>
        <v>0</v>
      </c>
      <c r="W15" s="50">
        <f>K15*'MRS(input_Option1)'!$F$67</f>
        <v>0</v>
      </c>
      <c r="X15" s="50">
        <f>L15*'MRS(input_Option1)'!$F$68</f>
        <v>0</v>
      </c>
      <c r="Y15" s="50">
        <f>M15*'MRS(input_Option1)'!$F$69</f>
        <v>0</v>
      </c>
      <c r="Z15" s="50">
        <f t="shared" si="1"/>
        <v>0</v>
      </c>
      <c r="AA15" s="229">
        <f t="shared" si="2"/>
        <v>0</v>
      </c>
      <c r="AB15" s="229"/>
    </row>
    <row r="16" spans="1:52" x14ac:dyDescent="0.2">
      <c r="A16" s="243"/>
      <c r="B16" s="53">
        <f t="shared" si="3"/>
        <v>2026</v>
      </c>
      <c r="C16" s="60"/>
      <c r="D16" s="60"/>
      <c r="E16" s="60"/>
      <c r="F16" s="60"/>
      <c r="G16" s="60"/>
      <c r="H16" s="60"/>
      <c r="I16" s="60"/>
      <c r="J16" s="60"/>
      <c r="K16" s="60"/>
      <c r="L16" s="60"/>
      <c r="M16" s="60"/>
      <c r="N16" s="60"/>
      <c r="O16" s="50">
        <f>C16*'MRS(input_Option1)'!$F$59</f>
        <v>0</v>
      </c>
      <c r="P16" s="50">
        <f>D16*'MRS(input_Option1)'!$F$60</f>
        <v>0</v>
      </c>
      <c r="Q16" s="50">
        <f>E16*'MRS(input_Option1)'!$F$61</f>
        <v>0</v>
      </c>
      <c r="R16" s="50">
        <f>F16*'MRS(input_Option1)'!$F$62</f>
        <v>0</v>
      </c>
      <c r="S16" s="50">
        <f>G16*'MRS(input_Option1)'!$F$63</f>
        <v>0</v>
      </c>
      <c r="T16" s="50">
        <f>H16*'MRS(input_Option1)'!$F$64</f>
        <v>0</v>
      </c>
      <c r="U16" s="50">
        <f>I16*'MRS(input_Option1)'!$F$65</f>
        <v>0</v>
      </c>
      <c r="V16" s="50">
        <f>J16*'MRS(input_Option1)'!$F$66</f>
        <v>0</v>
      </c>
      <c r="W16" s="50">
        <f>K16*'MRS(input_Option1)'!$F$67</f>
        <v>0</v>
      </c>
      <c r="X16" s="50">
        <f>L16*'MRS(input_Option1)'!$F$68</f>
        <v>0</v>
      </c>
      <c r="Y16" s="50">
        <f>M16*'MRS(input_Option1)'!$F$69</f>
        <v>0</v>
      </c>
      <c r="Z16" s="50">
        <f t="shared" si="1"/>
        <v>0</v>
      </c>
      <c r="AA16" s="229">
        <f t="shared" si="2"/>
        <v>0</v>
      </c>
      <c r="AB16" s="229"/>
    </row>
    <row r="17" spans="1:28" x14ac:dyDescent="0.2">
      <c r="A17" s="243"/>
      <c r="B17" s="53">
        <f t="shared" si="3"/>
        <v>2027</v>
      </c>
      <c r="C17" s="60"/>
      <c r="D17" s="60"/>
      <c r="E17" s="60"/>
      <c r="F17" s="60"/>
      <c r="G17" s="60"/>
      <c r="H17" s="60"/>
      <c r="I17" s="60"/>
      <c r="J17" s="60"/>
      <c r="K17" s="60"/>
      <c r="L17" s="60"/>
      <c r="M17" s="60"/>
      <c r="N17" s="60"/>
      <c r="O17" s="50">
        <f>C17*'MRS(input_Option1)'!$F$59</f>
        <v>0</v>
      </c>
      <c r="P17" s="50">
        <f>D17*'MRS(input_Option1)'!$F$60</f>
        <v>0</v>
      </c>
      <c r="Q17" s="50">
        <f>E17*'MRS(input_Option1)'!$F$61</f>
        <v>0</v>
      </c>
      <c r="R17" s="50">
        <f>F17*'MRS(input_Option1)'!$F$62</f>
        <v>0</v>
      </c>
      <c r="S17" s="50">
        <f>G17*'MRS(input_Option1)'!$F$63</f>
        <v>0</v>
      </c>
      <c r="T17" s="50">
        <f>H17*'MRS(input_Option1)'!$F$64</f>
        <v>0</v>
      </c>
      <c r="U17" s="50">
        <f>I17*'MRS(input_Option1)'!$F$65</f>
        <v>0</v>
      </c>
      <c r="V17" s="50">
        <f>J17*'MRS(input_Option1)'!$F$66</f>
        <v>0</v>
      </c>
      <c r="W17" s="50">
        <f>K17*'MRS(input_Option1)'!$F$67</f>
        <v>0</v>
      </c>
      <c r="X17" s="50">
        <f>L17*'MRS(input_Option1)'!$F$68</f>
        <v>0</v>
      </c>
      <c r="Y17" s="50">
        <f>M17*'MRS(input_Option1)'!$F$69</f>
        <v>0</v>
      </c>
      <c r="Z17" s="50">
        <f t="shared" si="1"/>
        <v>0</v>
      </c>
      <c r="AA17" s="229">
        <f t="shared" si="2"/>
        <v>0</v>
      </c>
      <c r="AB17" s="229"/>
    </row>
    <row r="18" spans="1:28" x14ac:dyDescent="0.2">
      <c r="A18" s="243"/>
      <c r="B18" s="53">
        <f t="shared" si="3"/>
        <v>2028</v>
      </c>
      <c r="C18" s="60"/>
      <c r="D18" s="60"/>
      <c r="E18" s="60"/>
      <c r="F18" s="60"/>
      <c r="G18" s="60"/>
      <c r="H18" s="60"/>
      <c r="I18" s="60"/>
      <c r="J18" s="60"/>
      <c r="K18" s="60"/>
      <c r="L18" s="60"/>
      <c r="M18" s="60"/>
      <c r="N18" s="60"/>
      <c r="O18" s="50">
        <f>C18*'MRS(input_Option1)'!$F$59</f>
        <v>0</v>
      </c>
      <c r="P18" s="50">
        <f>D18*'MRS(input_Option1)'!$F$60</f>
        <v>0</v>
      </c>
      <c r="Q18" s="50">
        <f>E18*'MRS(input_Option1)'!$F$61</f>
        <v>0</v>
      </c>
      <c r="R18" s="50">
        <f>F18*'MRS(input_Option1)'!$F$62</f>
        <v>0</v>
      </c>
      <c r="S18" s="50">
        <f>G18*'MRS(input_Option1)'!$F$63</f>
        <v>0</v>
      </c>
      <c r="T18" s="50">
        <f>H18*'MRS(input_Option1)'!$F$64</f>
        <v>0</v>
      </c>
      <c r="U18" s="50">
        <f>I18*'MRS(input_Option1)'!$F$65</f>
        <v>0</v>
      </c>
      <c r="V18" s="50">
        <f>J18*'MRS(input_Option1)'!$F$66</f>
        <v>0</v>
      </c>
      <c r="W18" s="50">
        <f>K18*'MRS(input_Option1)'!$F$67</f>
        <v>0</v>
      </c>
      <c r="X18" s="50">
        <f>L18*'MRS(input_Option1)'!$F$68</f>
        <v>0</v>
      </c>
      <c r="Y18" s="50">
        <f>M18*'MRS(input_Option1)'!$F$69</f>
        <v>0</v>
      </c>
      <c r="Z18" s="50">
        <f t="shared" si="1"/>
        <v>0</v>
      </c>
      <c r="AA18" s="229">
        <f t="shared" si="2"/>
        <v>0</v>
      </c>
      <c r="AB18" s="229"/>
    </row>
    <row r="19" spans="1:28" x14ac:dyDescent="0.2">
      <c r="A19" s="243"/>
      <c r="B19" s="53">
        <f t="shared" si="3"/>
        <v>2029</v>
      </c>
      <c r="C19" s="60"/>
      <c r="D19" s="60"/>
      <c r="E19" s="60"/>
      <c r="F19" s="60"/>
      <c r="G19" s="60"/>
      <c r="H19" s="60"/>
      <c r="I19" s="60"/>
      <c r="J19" s="60"/>
      <c r="K19" s="60"/>
      <c r="L19" s="60"/>
      <c r="M19" s="60"/>
      <c r="N19" s="60"/>
      <c r="O19" s="50">
        <f>C19*'MRS(input_Option1)'!$F$59</f>
        <v>0</v>
      </c>
      <c r="P19" s="50">
        <f>D19*'MRS(input_Option1)'!$F$60</f>
        <v>0</v>
      </c>
      <c r="Q19" s="50">
        <f>E19*'MRS(input_Option1)'!$F$61</f>
        <v>0</v>
      </c>
      <c r="R19" s="50">
        <f>F19*'MRS(input_Option1)'!$F$62</f>
        <v>0</v>
      </c>
      <c r="S19" s="50">
        <f>G19*'MRS(input_Option1)'!$F$63</f>
        <v>0</v>
      </c>
      <c r="T19" s="50">
        <f>H19*'MRS(input_Option1)'!$F$64</f>
        <v>0</v>
      </c>
      <c r="U19" s="50">
        <f>I19*'MRS(input_Option1)'!$F$65</f>
        <v>0</v>
      </c>
      <c r="V19" s="50">
        <f>J19*'MRS(input_Option1)'!$F$66</f>
        <v>0</v>
      </c>
      <c r="W19" s="50">
        <f>K19*'MRS(input_Option1)'!$F$67</f>
        <v>0</v>
      </c>
      <c r="X19" s="50">
        <f>L19*'MRS(input_Option1)'!$F$68</f>
        <v>0</v>
      </c>
      <c r="Y19" s="50">
        <f>M19*'MRS(input_Option1)'!$F$69</f>
        <v>0</v>
      </c>
      <c r="Z19" s="50">
        <f t="shared" si="1"/>
        <v>0</v>
      </c>
      <c r="AA19" s="229">
        <f t="shared" si="2"/>
        <v>0</v>
      </c>
      <c r="AB19" s="229"/>
    </row>
    <row r="20" spans="1:28" x14ac:dyDescent="0.2">
      <c r="A20" s="57"/>
      <c r="B20" s="58" t="s">
        <v>259</v>
      </c>
      <c r="C20" s="76" t="s">
        <v>26</v>
      </c>
      <c r="D20" s="76" t="s">
        <v>26</v>
      </c>
      <c r="E20" s="76" t="s">
        <v>26</v>
      </c>
      <c r="F20" s="76" t="s">
        <v>26</v>
      </c>
      <c r="G20" s="76" t="s">
        <v>26</v>
      </c>
      <c r="H20" s="76" t="s">
        <v>26</v>
      </c>
      <c r="I20" s="76" t="s">
        <v>26</v>
      </c>
      <c r="J20" s="76" t="s">
        <v>26</v>
      </c>
      <c r="K20" s="76" t="s">
        <v>26</v>
      </c>
      <c r="L20" s="76" t="s">
        <v>26</v>
      </c>
      <c r="M20" s="76" t="s">
        <v>26</v>
      </c>
      <c r="N20" s="76" t="s">
        <v>26</v>
      </c>
      <c r="O20" s="76" t="s">
        <v>26</v>
      </c>
      <c r="P20" s="76" t="s">
        <v>26</v>
      </c>
      <c r="Q20" s="76" t="s">
        <v>26</v>
      </c>
      <c r="R20" s="76" t="s">
        <v>26</v>
      </c>
      <c r="S20" s="76" t="s">
        <v>26</v>
      </c>
      <c r="T20" s="76" t="s">
        <v>26</v>
      </c>
      <c r="U20" s="76" t="s">
        <v>26</v>
      </c>
      <c r="V20" s="76" t="s">
        <v>26</v>
      </c>
      <c r="W20" s="76" t="s">
        <v>26</v>
      </c>
      <c r="X20" s="76" t="s">
        <v>26</v>
      </c>
      <c r="Y20" s="76" t="s">
        <v>26</v>
      </c>
      <c r="Z20" s="76" t="s">
        <v>26</v>
      </c>
      <c r="AA20" s="229">
        <f>SUM(AA8:AA19)</f>
        <v>0</v>
      </c>
      <c r="AB20" s="229"/>
    </row>
    <row r="23" spans="1:28" x14ac:dyDescent="0.2">
      <c r="A23" s="77" t="s">
        <v>268</v>
      </c>
    </row>
    <row r="24" spans="1:28" x14ac:dyDescent="0.2">
      <c r="A24" s="213" t="s">
        <v>230</v>
      </c>
      <c r="B24" s="213"/>
      <c r="C24" s="211" t="s">
        <v>209</v>
      </c>
      <c r="D24" s="211"/>
      <c r="E24" s="211"/>
      <c r="F24" s="211"/>
      <c r="G24" s="211"/>
      <c r="H24" s="211" t="s">
        <v>213</v>
      </c>
      <c r="I24" s="211"/>
      <c r="J24" s="211"/>
      <c r="K24" s="211"/>
      <c r="L24" s="211"/>
      <c r="M24" s="1"/>
      <c r="N24" s="1"/>
    </row>
    <row r="25" spans="1:28" x14ac:dyDescent="0.2">
      <c r="A25" s="213" t="s">
        <v>235</v>
      </c>
      <c r="B25" s="213"/>
      <c r="C25" s="211" t="s">
        <v>210</v>
      </c>
      <c r="D25" s="211"/>
      <c r="E25" s="211"/>
      <c r="F25" s="211"/>
      <c r="G25" s="211"/>
      <c r="H25" s="211" t="s">
        <v>269</v>
      </c>
      <c r="I25" s="211"/>
      <c r="J25" s="211"/>
      <c r="K25" s="211"/>
      <c r="L25" s="211"/>
      <c r="M25" s="1"/>
      <c r="N25" s="1"/>
    </row>
    <row r="26" spans="1:28" ht="16.5" customHeight="1" x14ac:dyDescent="0.2">
      <c r="A26" s="213" t="s">
        <v>241</v>
      </c>
      <c r="B26" s="213"/>
      <c r="C26" s="211" t="s">
        <v>211</v>
      </c>
      <c r="D26" s="211"/>
      <c r="E26" s="211"/>
      <c r="F26" s="211"/>
      <c r="G26" s="211"/>
      <c r="H26" s="211" t="s">
        <v>215</v>
      </c>
      <c r="I26" s="211"/>
      <c r="J26" s="211"/>
      <c r="K26" s="211"/>
      <c r="L26" s="211"/>
      <c r="M26" s="1"/>
      <c r="N26" s="1"/>
    </row>
    <row r="27" spans="1:28" ht="28" x14ac:dyDescent="0.2">
      <c r="A27" s="213" t="s">
        <v>270</v>
      </c>
      <c r="B27" s="213"/>
      <c r="C27" s="51" t="s">
        <v>271</v>
      </c>
      <c r="D27" s="51" t="s">
        <v>272</v>
      </c>
      <c r="E27" s="52" t="s">
        <v>273</v>
      </c>
      <c r="F27" s="165">
        <f>'MPS(input_PJ_Opt1)'!F27</f>
        <v>0</v>
      </c>
      <c r="G27" s="165">
        <f>'MPS(input_PJ_Opt1)'!G27</f>
        <v>0</v>
      </c>
      <c r="H27" s="51" t="str">
        <f>C27</f>
        <v>Gas/diesel oil</v>
      </c>
      <c r="I27" s="51" t="str">
        <f>D27</f>
        <v>Motor gasoline</v>
      </c>
      <c r="J27" s="52" t="str">
        <f>E27</f>
        <v>Crude oil</v>
      </c>
      <c r="K27" s="165">
        <f>F27</f>
        <v>0</v>
      </c>
      <c r="L27" s="165">
        <f>G27</f>
        <v>0</v>
      </c>
      <c r="M27" s="1"/>
      <c r="N27" s="1"/>
    </row>
    <row r="28" spans="1:28" x14ac:dyDescent="0.2">
      <c r="A28" s="217" t="s">
        <v>274</v>
      </c>
      <c r="B28" s="217"/>
      <c r="C28" s="79">
        <f>'MRS(calc_process_Option1)'!E105</f>
        <v>4.2999999999999997E-2</v>
      </c>
      <c r="D28" s="79">
        <f>'MRS(calc_process_Option1)'!E106</f>
        <v>4.4299999999999999E-2</v>
      </c>
      <c r="E28" s="80">
        <f>'MRS(calc_process_Option1)'!E107</f>
        <v>4.2299999999999997E-2</v>
      </c>
      <c r="F28" s="165">
        <f>'MPS(input_PJ_Opt1)'!F28</f>
        <v>0</v>
      </c>
      <c r="G28" s="165">
        <f>'MPS(input_PJ_Opt1)'!G28</f>
        <v>0</v>
      </c>
      <c r="H28" s="81">
        <f>'MRS(calc_process_Option1)'!E108</f>
        <v>7.4099999999999999E-2</v>
      </c>
      <c r="I28" s="81">
        <f>'MRS(calc_process_Option1)'!E109</f>
        <v>6.93E-2</v>
      </c>
      <c r="J28" s="81">
        <f>'MRS(calc_process_Option1)'!E110</f>
        <v>7.3300000000000004E-2</v>
      </c>
      <c r="K28" s="165">
        <f>'MPS(input_PJ_Opt1)'!K28</f>
        <v>0</v>
      </c>
      <c r="L28" s="165">
        <f>'MPS(input_PJ_Opt1)'!L28</f>
        <v>0</v>
      </c>
      <c r="M28" s="1"/>
      <c r="N28" s="1"/>
    </row>
    <row r="29" spans="1:28" x14ac:dyDescent="0.2">
      <c r="A29" s="77"/>
      <c r="R29"/>
    </row>
    <row r="31" spans="1:28" x14ac:dyDescent="0.2">
      <c r="A31" s="77" t="s">
        <v>275</v>
      </c>
      <c r="B31" s="47"/>
      <c r="Z31" s="1" t="s">
        <v>276</v>
      </c>
    </row>
    <row r="32" spans="1:28" x14ac:dyDescent="0.2">
      <c r="A32" s="213" t="s">
        <v>230</v>
      </c>
      <c r="B32" s="213"/>
      <c r="C32" s="211" t="s">
        <v>35</v>
      </c>
      <c r="D32" s="211"/>
      <c r="E32" s="211"/>
      <c r="F32" s="211"/>
      <c r="G32" s="211"/>
      <c r="H32" s="211" t="s">
        <v>277</v>
      </c>
      <c r="I32" s="211"/>
      <c r="J32" s="211"/>
      <c r="K32" s="211"/>
      <c r="L32" s="211"/>
      <c r="M32" s="212" t="s">
        <v>278</v>
      </c>
      <c r="N32" s="212"/>
    </row>
    <row r="33" spans="1:18" ht="75.650000000000006" customHeight="1" x14ac:dyDescent="0.2">
      <c r="A33" s="213" t="s">
        <v>235</v>
      </c>
      <c r="B33" s="213"/>
      <c r="C33" s="211" t="s">
        <v>279</v>
      </c>
      <c r="D33" s="211"/>
      <c r="E33" s="211"/>
      <c r="F33" s="211"/>
      <c r="G33" s="211"/>
      <c r="H33" s="211" t="s">
        <v>280</v>
      </c>
      <c r="I33" s="211"/>
      <c r="J33" s="211"/>
      <c r="K33" s="211"/>
      <c r="L33" s="211"/>
      <c r="M33" s="221" t="s">
        <v>281</v>
      </c>
      <c r="N33" s="221"/>
    </row>
    <row r="34" spans="1:18" ht="15.65" customHeight="1" x14ac:dyDescent="0.2">
      <c r="A34" s="213" t="s">
        <v>241</v>
      </c>
      <c r="B34" s="213"/>
      <c r="C34" s="211" t="s">
        <v>37</v>
      </c>
      <c r="D34" s="211"/>
      <c r="E34" s="211"/>
      <c r="F34" s="211"/>
      <c r="G34" s="211"/>
      <c r="H34" s="211" t="s">
        <v>282</v>
      </c>
      <c r="I34" s="211"/>
      <c r="J34" s="211"/>
      <c r="K34" s="211"/>
      <c r="L34" s="211"/>
      <c r="M34" s="212" t="s">
        <v>282</v>
      </c>
      <c r="N34" s="212"/>
    </row>
    <row r="35" spans="1:18" ht="28" x14ac:dyDescent="0.2">
      <c r="A35" s="213" t="s">
        <v>270</v>
      </c>
      <c r="B35" s="213"/>
      <c r="C35" s="51" t="str">
        <f>C27</f>
        <v>Gas/diesel oil</v>
      </c>
      <c r="D35" s="51" t="str">
        <f>D27</f>
        <v>Motor gasoline</v>
      </c>
      <c r="E35" s="52" t="str">
        <f>E27</f>
        <v>Crude oil</v>
      </c>
      <c r="F35" s="78">
        <f>F27</f>
        <v>0</v>
      </c>
      <c r="G35" s="78">
        <f>G27</f>
        <v>0</v>
      </c>
      <c r="H35" s="52" t="str">
        <f>C35</f>
        <v>Gas/diesel oil</v>
      </c>
      <c r="I35" s="52" t="str">
        <f>D35</f>
        <v>Motor gasoline</v>
      </c>
      <c r="J35" s="52" t="str">
        <f>E35</f>
        <v>Crude oil</v>
      </c>
      <c r="K35" s="78">
        <f>F35</f>
        <v>0</v>
      </c>
      <c r="L35" s="78">
        <f>G35</f>
        <v>0</v>
      </c>
      <c r="M35" s="212" t="s">
        <v>26</v>
      </c>
      <c r="N35" s="212"/>
    </row>
    <row r="36" spans="1:18" x14ac:dyDescent="0.2">
      <c r="A36" s="243" t="s">
        <v>221</v>
      </c>
      <c r="B36" s="53">
        <f>'MRS(input_RL_Opt1)'!$B$8</f>
        <v>2018</v>
      </c>
      <c r="C36" s="46"/>
      <c r="D36" s="46"/>
      <c r="E36" s="46"/>
      <c r="F36" s="46"/>
      <c r="G36" s="46"/>
      <c r="H36" s="82">
        <f t="shared" ref="H36:L47" si="4">C36*C$28*H$28</f>
        <v>0</v>
      </c>
      <c r="I36" s="82">
        <f t="shared" si="4"/>
        <v>0</v>
      </c>
      <c r="J36" s="82">
        <f t="shared" si="4"/>
        <v>0</v>
      </c>
      <c r="K36" s="82">
        <f t="shared" si="4"/>
        <v>0</v>
      </c>
      <c r="L36" s="82">
        <f t="shared" si="4"/>
        <v>0</v>
      </c>
      <c r="M36" s="222">
        <f>SUM(H36:L36)</f>
        <v>0</v>
      </c>
      <c r="N36" s="222"/>
    </row>
    <row r="37" spans="1:18" x14ac:dyDescent="0.2">
      <c r="A37" s="243"/>
      <c r="B37" s="53">
        <f>B36+1</f>
        <v>2019</v>
      </c>
      <c r="C37" s="46"/>
      <c r="D37" s="46"/>
      <c r="E37" s="46"/>
      <c r="F37" s="46"/>
      <c r="G37" s="46"/>
      <c r="H37" s="82">
        <f t="shared" si="4"/>
        <v>0</v>
      </c>
      <c r="I37" s="82">
        <f t="shared" si="4"/>
        <v>0</v>
      </c>
      <c r="J37" s="82">
        <f t="shared" si="4"/>
        <v>0</v>
      </c>
      <c r="K37" s="82">
        <f t="shared" si="4"/>
        <v>0</v>
      </c>
      <c r="L37" s="82">
        <f t="shared" si="4"/>
        <v>0</v>
      </c>
      <c r="M37" s="222">
        <f t="shared" ref="M37:M47" si="5">SUM(H37:L37)</f>
        <v>0</v>
      </c>
      <c r="N37" s="222"/>
    </row>
    <row r="38" spans="1:18" x14ac:dyDescent="0.2">
      <c r="A38" s="243"/>
      <c r="B38" s="53">
        <f t="shared" ref="B38:B47" si="6">B37+1</f>
        <v>2020</v>
      </c>
      <c r="C38" s="46"/>
      <c r="D38" s="46"/>
      <c r="E38" s="46"/>
      <c r="F38" s="46"/>
      <c r="G38" s="46"/>
      <c r="H38" s="82">
        <f t="shared" si="4"/>
        <v>0</v>
      </c>
      <c r="I38" s="82">
        <f t="shared" si="4"/>
        <v>0</v>
      </c>
      <c r="J38" s="82">
        <f t="shared" si="4"/>
        <v>0</v>
      </c>
      <c r="K38" s="82">
        <f t="shared" si="4"/>
        <v>0</v>
      </c>
      <c r="L38" s="82">
        <f t="shared" si="4"/>
        <v>0</v>
      </c>
      <c r="M38" s="222">
        <f t="shared" si="5"/>
        <v>0</v>
      </c>
      <c r="N38" s="222"/>
      <c r="R38" s="83"/>
    </row>
    <row r="39" spans="1:18" x14ac:dyDescent="0.2">
      <c r="A39" s="243"/>
      <c r="B39" s="53">
        <f t="shared" si="6"/>
        <v>2021</v>
      </c>
      <c r="C39" s="46"/>
      <c r="D39" s="46"/>
      <c r="E39" s="46"/>
      <c r="F39" s="46"/>
      <c r="G39" s="46"/>
      <c r="H39" s="82">
        <f t="shared" si="4"/>
        <v>0</v>
      </c>
      <c r="I39" s="82">
        <f t="shared" si="4"/>
        <v>0</v>
      </c>
      <c r="J39" s="82">
        <f t="shared" si="4"/>
        <v>0</v>
      </c>
      <c r="K39" s="82">
        <f t="shared" si="4"/>
        <v>0</v>
      </c>
      <c r="L39" s="82">
        <f t="shared" si="4"/>
        <v>0</v>
      </c>
      <c r="M39" s="222">
        <f t="shared" si="5"/>
        <v>0</v>
      </c>
      <c r="N39" s="222"/>
    </row>
    <row r="40" spans="1:18" x14ac:dyDescent="0.2">
      <c r="A40" s="243"/>
      <c r="B40" s="53">
        <f t="shared" si="6"/>
        <v>2022</v>
      </c>
      <c r="C40" s="46"/>
      <c r="D40" s="46"/>
      <c r="E40" s="46"/>
      <c r="F40" s="46"/>
      <c r="G40" s="46"/>
      <c r="H40" s="82">
        <f t="shared" si="4"/>
        <v>0</v>
      </c>
      <c r="I40" s="82">
        <f t="shared" si="4"/>
        <v>0</v>
      </c>
      <c r="J40" s="82">
        <f t="shared" si="4"/>
        <v>0</v>
      </c>
      <c r="K40" s="82">
        <f t="shared" si="4"/>
        <v>0</v>
      </c>
      <c r="L40" s="82">
        <f t="shared" si="4"/>
        <v>0</v>
      </c>
      <c r="M40" s="222">
        <f t="shared" si="5"/>
        <v>0</v>
      </c>
      <c r="N40" s="222"/>
    </row>
    <row r="41" spans="1:18" x14ac:dyDescent="0.2">
      <c r="A41" s="243"/>
      <c r="B41" s="53">
        <f t="shared" si="6"/>
        <v>2023</v>
      </c>
      <c r="C41" s="46"/>
      <c r="D41" s="46"/>
      <c r="E41" s="46"/>
      <c r="F41" s="46"/>
      <c r="G41" s="46"/>
      <c r="H41" s="82">
        <f t="shared" si="4"/>
        <v>0</v>
      </c>
      <c r="I41" s="82">
        <f t="shared" si="4"/>
        <v>0</v>
      </c>
      <c r="J41" s="82">
        <f t="shared" si="4"/>
        <v>0</v>
      </c>
      <c r="K41" s="82">
        <f t="shared" si="4"/>
        <v>0</v>
      </c>
      <c r="L41" s="82">
        <f t="shared" si="4"/>
        <v>0</v>
      </c>
      <c r="M41" s="222">
        <f t="shared" si="5"/>
        <v>0</v>
      </c>
      <c r="N41" s="222"/>
    </row>
    <row r="42" spans="1:18" x14ac:dyDescent="0.2">
      <c r="A42" s="243"/>
      <c r="B42" s="53">
        <f t="shared" si="6"/>
        <v>2024</v>
      </c>
      <c r="C42" s="46"/>
      <c r="D42" s="46"/>
      <c r="E42" s="46"/>
      <c r="F42" s="46"/>
      <c r="G42" s="46"/>
      <c r="H42" s="82">
        <f t="shared" si="4"/>
        <v>0</v>
      </c>
      <c r="I42" s="82">
        <f t="shared" si="4"/>
        <v>0</v>
      </c>
      <c r="J42" s="82">
        <f t="shared" si="4"/>
        <v>0</v>
      </c>
      <c r="K42" s="82">
        <f t="shared" si="4"/>
        <v>0</v>
      </c>
      <c r="L42" s="82">
        <f t="shared" si="4"/>
        <v>0</v>
      </c>
      <c r="M42" s="222">
        <f t="shared" si="5"/>
        <v>0</v>
      </c>
      <c r="N42" s="222"/>
    </row>
    <row r="43" spans="1:18" x14ac:dyDescent="0.2">
      <c r="A43" s="243"/>
      <c r="B43" s="53">
        <f t="shared" si="6"/>
        <v>2025</v>
      </c>
      <c r="C43" s="46"/>
      <c r="D43" s="46"/>
      <c r="E43" s="46"/>
      <c r="F43" s="46"/>
      <c r="G43" s="46"/>
      <c r="H43" s="82">
        <f t="shared" si="4"/>
        <v>0</v>
      </c>
      <c r="I43" s="82">
        <f t="shared" si="4"/>
        <v>0</v>
      </c>
      <c r="J43" s="82">
        <f t="shared" si="4"/>
        <v>0</v>
      </c>
      <c r="K43" s="82">
        <f t="shared" si="4"/>
        <v>0</v>
      </c>
      <c r="L43" s="82">
        <f t="shared" si="4"/>
        <v>0</v>
      </c>
      <c r="M43" s="222">
        <f t="shared" si="5"/>
        <v>0</v>
      </c>
      <c r="N43" s="222"/>
    </row>
    <row r="44" spans="1:18" x14ac:dyDescent="0.2">
      <c r="A44" s="243"/>
      <c r="B44" s="53">
        <f t="shared" si="6"/>
        <v>2026</v>
      </c>
      <c r="C44" s="46"/>
      <c r="D44" s="46"/>
      <c r="E44" s="46"/>
      <c r="F44" s="46"/>
      <c r="G44" s="46"/>
      <c r="H44" s="82">
        <f t="shared" si="4"/>
        <v>0</v>
      </c>
      <c r="I44" s="82">
        <f t="shared" si="4"/>
        <v>0</v>
      </c>
      <c r="J44" s="82">
        <f t="shared" si="4"/>
        <v>0</v>
      </c>
      <c r="K44" s="82">
        <f t="shared" si="4"/>
        <v>0</v>
      </c>
      <c r="L44" s="82">
        <f t="shared" si="4"/>
        <v>0</v>
      </c>
      <c r="M44" s="222">
        <f t="shared" si="5"/>
        <v>0</v>
      </c>
      <c r="N44" s="222"/>
    </row>
    <row r="45" spans="1:18" x14ac:dyDescent="0.2">
      <c r="A45" s="243"/>
      <c r="B45" s="53">
        <f t="shared" si="6"/>
        <v>2027</v>
      </c>
      <c r="C45" s="46"/>
      <c r="D45" s="46"/>
      <c r="E45" s="46"/>
      <c r="F45" s="46"/>
      <c r="G45" s="46"/>
      <c r="H45" s="82">
        <f t="shared" si="4"/>
        <v>0</v>
      </c>
      <c r="I45" s="82">
        <f t="shared" si="4"/>
        <v>0</v>
      </c>
      <c r="J45" s="82">
        <f t="shared" si="4"/>
        <v>0</v>
      </c>
      <c r="K45" s="82">
        <f t="shared" si="4"/>
        <v>0</v>
      </c>
      <c r="L45" s="82">
        <f t="shared" si="4"/>
        <v>0</v>
      </c>
      <c r="M45" s="222">
        <f t="shared" si="5"/>
        <v>0</v>
      </c>
      <c r="N45" s="222"/>
    </row>
    <row r="46" spans="1:18" x14ac:dyDescent="0.2">
      <c r="A46" s="243"/>
      <c r="B46" s="53">
        <f t="shared" si="6"/>
        <v>2028</v>
      </c>
      <c r="C46" s="46"/>
      <c r="D46" s="46"/>
      <c r="E46" s="46"/>
      <c r="F46" s="46"/>
      <c r="G46" s="46"/>
      <c r="H46" s="82">
        <f t="shared" si="4"/>
        <v>0</v>
      </c>
      <c r="I46" s="82">
        <f t="shared" si="4"/>
        <v>0</v>
      </c>
      <c r="J46" s="82">
        <f t="shared" si="4"/>
        <v>0</v>
      </c>
      <c r="K46" s="82">
        <f t="shared" si="4"/>
        <v>0</v>
      </c>
      <c r="L46" s="82">
        <f t="shared" si="4"/>
        <v>0</v>
      </c>
      <c r="M46" s="222">
        <f t="shared" si="5"/>
        <v>0</v>
      </c>
      <c r="N46" s="222"/>
    </row>
    <row r="47" spans="1:18" x14ac:dyDescent="0.2">
      <c r="A47" s="243"/>
      <c r="B47" s="53">
        <f t="shared" si="6"/>
        <v>2029</v>
      </c>
      <c r="C47" s="46"/>
      <c r="D47" s="46"/>
      <c r="E47" s="46"/>
      <c r="F47" s="46"/>
      <c r="G47" s="46"/>
      <c r="H47" s="82">
        <f t="shared" si="4"/>
        <v>0</v>
      </c>
      <c r="I47" s="82">
        <f t="shared" si="4"/>
        <v>0</v>
      </c>
      <c r="J47" s="82">
        <f t="shared" si="4"/>
        <v>0</v>
      </c>
      <c r="K47" s="82">
        <f t="shared" si="4"/>
        <v>0</v>
      </c>
      <c r="L47" s="82">
        <f t="shared" si="4"/>
        <v>0</v>
      </c>
      <c r="M47" s="222">
        <f t="shared" si="5"/>
        <v>0</v>
      </c>
      <c r="N47" s="222"/>
    </row>
    <row r="48" spans="1:18" x14ac:dyDescent="0.2">
      <c r="A48" s="57"/>
      <c r="B48" s="58" t="s">
        <v>259</v>
      </c>
      <c r="C48" s="76" t="s">
        <v>26</v>
      </c>
      <c r="D48" s="76" t="s">
        <v>26</v>
      </c>
      <c r="E48" s="76" t="s">
        <v>26</v>
      </c>
      <c r="F48" s="76" t="s">
        <v>26</v>
      </c>
      <c r="G48" s="76" t="s">
        <v>26</v>
      </c>
      <c r="H48" s="76" t="s">
        <v>26</v>
      </c>
      <c r="I48" s="76" t="s">
        <v>26</v>
      </c>
      <c r="J48" s="76" t="s">
        <v>26</v>
      </c>
      <c r="K48" s="76" t="s">
        <v>26</v>
      </c>
      <c r="L48" s="76" t="s">
        <v>26</v>
      </c>
      <c r="M48" s="222">
        <f>SUM(M36:M47)</f>
        <v>0</v>
      </c>
      <c r="N48" s="222"/>
    </row>
    <row r="51" spans="1:19" ht="15" customHeight="1" x14ac:dyDescent="0.2">
      <c r="A51" s="77" t="s">
        <v>283</v>
      </c>
    </row>
    <row r="52" spans="1:19" x14ac:dyDescent="0.2">
      <c r="A52" s="213" t="s">
        <v>284</v>
      </c>
      <c r="B52" s="213"/>
      <c r="C52" s="63"/>
      <c r="D52" s="63"/>
      <c r="E52" s="60"/>
      <c r="F52" s="60"/>
      <c r="G52" s="60"/>
      <c r="H52" s="78">
        <f t="shared" ref="H52:Q53" si="7">C52</f>
        <v>0</v>
      </c>
      <c r="I52" s="78">
        <f t="shared" si="7"/>
        <v>0</v>
      </c>
      <c r="J52" s="78">
        <f t="shared" si="7"/>
        <v>0</v>
      </c>
      <c r="K52" s="78">
        <f t="shared" si="7"/>
        <v>0</v>
      </c>
      <c r="L52" s="78">
        <f t="shared" si="7"/>
        <v>0</v>
      </c>
      <c r="M52" s="78">
        <f t="shared" si="7"/>
        <v>0</v>
      </c>
      <c r="N52" s="78">
        <f t="shared" si="7"/>
        <v>0</v>
      </c>
      <c r="O52" s="78">
        <f t="shared" si="7"/>
        <v>0</v>
      </c>
      <c r="P52" s="78">
        <f t="shared" si="7"/>
        <v>0</v>
      </c>
      <c r="Q52" s="78">
        <f t="shared" si="7"/>
        <v>0</v>
      </c>
      <c r="R52" s="212" t="s">
        <v>26</v>
      </c>
      <c r="S52" s="212"/>
    </row>
    <row r="53" spans="1:19" x14ac:dyDescent="0.2">
      <c r="A53" s="213" t="s">
        <v>270</v>
      </c>
      <c r="B53" s="213"/>
      <c r="C53" s="63"/>
      <c r="D53" s="63"/>
      <c r="E53" s="60"/>
      <c r="F53" s="60"/>
      <c r="G53" s="60"/>
      <c r="H53" s="78">
        <f t="shared" si="7"/>
        <v>0</v>
      </c>
      <c r="I53" s="78">
        <f t="shared" si="7"/>
        <v>0</v>
      </c>
      <c r="J53" s="78">
        <f t="shared" si="7"/>
        <v>0</v>
      </c>
      <c r="K53" s="78">
        <f t="shared" si="7"/>
        <v>0</v>
      </c>
      <c r="L53" s="78">
        <f t="shared" si="7"/>
        <v>0</v>
      </c>
      <c r="M53" s="78">
        <f t="shared" si="7"/>
        <v>0</v>
      </c>
      <c r="N53" s="78">
        <f t="shared" si="7"/>
        <v>0</v>
      </c>
      <c r="O53" s="78">
        <f t="shared" si="7"/>
        <v>0</v>
      </c>
      <c r="P53" s="78">
        <f t="shared" si="7"/>
        <v>0</v>
      </c>
      <c r="Q53" s="78">
        <f t="shared" si="7"/>
        <v>0</v>
      </c>
      <c r="R53" s="212" t="s">
        <v>26</v>
      </c>
      <c r="S53" s="212"/>
    </row>
    <row r="54" spans="1:19" ht="14.15" customHeight="1" x14ac:dyDescent="0.2">
      <c r="A54" s="223" t="s">
        <v>274</v>
      </c>
      <c r="B54" s="224"/>
      <c r="C54" s="211" t="s">
        <v>56</v>
      </c>
      <c r="D54" s="211"/>
      <c r="E54" s="211"/>
      <c r="F54" s="211"/>
      <c r="G54" s="211"/>
      <c r="H54" s="211" t="s">
        <v>209</v>
      </c>
      <c r="I54" s="211"/>
      <c r="J54" s="211"/>
      <c r="K54" s="211"/>
      <c r="L54" s="211"/>
      <c r="M54" s="212" t="s">
        <v>285</v>
      </c>
      <c r="N54" s="212" t="s">
        <v>285</v>
      </c>
      <c r="O54" s="212" t="s">
        <v>285</v>
      </c>
      <c r="P54" s="212" t="s">
        <v>285</v>
      </c>
      <c r="Q54" s="212" t="s">
        <v>285</v>
      </c>
      <c r="R54" s="212" t="s">
        <v>285</v>
      </c>
      <c r="S54" s="212"/>
    </row>
    <row r="55" spans="1:19" ht="29.15" customHeight="1" x14ac:dyDescent="0.2">
      <c r="A55" s="225"/>
      <c r="B55" s="226"/>
      <c r="C55" s="211" t="s">
        <v>286</v>
      </c>
      <c r="D55" s="211"/>
      <c r="E55" s="211"/>
      <c r="F55" s="211"/>
      <c r="G55" s="211"/>
      <c r="H55" s="84">
        <f>INDEX($C$28:$G$28,1,MATCH(H53, $C$27:$G$27,0))</f>
        <v>0</v>
      </c>
      <c r="I55" s="84">
        <f t="shared" ref="I55:L55" si="8">INDEX($C$28:$G$28,1,MATCH(I53, $C$27:$G$27,0))</f>
        <v>0</v>
      </c>
      <c r="J55" s="84">
        <f t="shared" si="8"/>
        <v>0</v>
      </c>
      <c r="K55" s="84">
        <f>INDEX($C$28:$G$28,1,MATCH(K53,$C$27:$G$27,0))</f>
        <v>0</v>
      </c>
      <c r="L55" s="84">
        <f t="shared" si="8"/>
        <v>0</v>
      </c>
      <c r="M55" s="212"/>
      <c r="N55" s="212"/>
      <c r="O55" s="212"/>
      <c r="P55" s="212"/>
      <c r="Q55" s="212"/>
      <c r="R55" s="212"/>
      <c r="S55" s="212"/>
    </row>
    <row r="56" spans="1:19" ht="14.15" customHeight="1" x14ac:dyDescent="0.2">
      <c r="A56" s="225"/>
      <c r="B56" s="226"/>
      <c r="C56" s="211" t="s">
        <v>58</v>
      </c>
      <c r="D56" s="211"/>
      <c r="E56" s="211"/>
      <c r="F56" s="211"/>
      <c r="G56" s="211"/>
      <c r="H56" s="211" t="s">
        <v>213</v>
      </c>
      <c r="I56" s="211"/>
      <c r="J56" s="211"/>
      <c r="K56" s="211"/>
      <c r="L56" s="211"/>
      <c r="M56" s="212"/>
      <c r="N56" s="212"/>
      <c r="O56" s="212"/>
      <c r="P56" s="212"/>
      <c r="Q56" s="212"/>
      <c r="R56" s="212"/>
      <c r="S56" s="212"/>
    </row>
    <row r="57" spans="1:19" x14ac:dyDescent="0.2">
      <c r="A57" s="227"/>
      <c r="B57" s="228"/>
      <c r="C57" s="64"/>
      <c r="D57" s="64"/>
      <c r="E57" s="65"/>
      <c r="F57" s="65"/>
      <c r="G57" s="65"/>
      <c r="H57" s="84">
        <f>INDEX($H$28:$L$28,1,MATCH(H53,$H$27:$L$27,0))</f>
        <v>0</v>
      </c>
      <c r="I57" s="84">
        <f t="shared" ref="I57:L57" si="9">INDEX($H$28:$L$28,1,MATCH(I53,$H$27:$L$27,0))</f>
        <v>0</v>
      </c>
      <c r="J57" s="84">
        <f t="shared" si="9"/>
        <v>0</v>
      </c>
      <c r="K57" s="84">
        <f>INDEX($H$28:$L$28,1,MATCH(K53,$H$27:$L$27,0))</f>
        <v>0</v>
      </c>
      <c r="L57" s="84">
        <f t="shared" si="9"/>
        <v>0</v>
      </c>
      <c r="M57" s="212"/>
      <c r="N57" s="212"/>
      <c r="O57" s="212"/>
      <c r="P57" s="212"/>
      <c r="Q57" s="212"/>
      <c r="R57" s="212"/>
      <c r="S57" s="212"/>
    </row>
    <row r="58" spans="1:19" x14ac:dyDescent="0.2">
      <c r="A58" s="213" t="s">
        <v>230</v>
      </c>
      <c r="B58" s="213"/>
      <c r="C58" s="211" t="s">
        <v>43</v>
      </c>
      <c r="D58" s="211"/>
      <c r="E58" s="211"/>
      <c r="F58" s="211"/>
      <c r="G58" s="211"/>
      <c r="H58" s="211" t="s">
        <v>50</v>
      </c>
      <c r="I58" s="211"/>
      <c r="J58" s="211"/>
      <c r="K58" s="211"/>
      <c r="L58" s="211"/>
      <c r="M58" s="211" t="s">
        <v>287</v>
      </c>
      <c r="N58" s="211"/>
      <c r="O58" s="211"/>
      <c r="P58" s="211"/>
      <c r="Q58" s="211"/>
      <c r="R58" s="212" t="s">
        <v>288</v>
      </c>
      <c r="S58" s="212"/>
    </row>
    <row r="59" spans="1:19" ht="77.150000000000006" customHeight="1" x14ac:dyDescent="0.2">
      <c r="A59" s="213" t="s">
        <v>235</v>
      </c>
      <c r="B59" s="213"/>
      <c r="C59" s="211" t="s">
        <v>289</v>
      </c>
      <c r="D59" s="211"/>
      <c r="E59" s="211"/>
      <c r="F59" s="211"/>
      <c r="G59" s="211"/>
      <c r="H59" s="211" t="s">
        <v>290</v>
      </c>
      <c r="I59" s="211"/>
      <c r="J59" s="211"/>
      <c r="K59" s="211"/>
      <c r="L59" s="211"/>
      <c r="M59" s="211" t="s">
        <v>291</v>
      </c>
      <c r="N59" s="211"/>
      <c r="O59" s="211"/>
      <c r="P59" s="211"/>
      <c r="Q59" s="211"/>
      <c r="R59" s="221" t="s">
        <v>292</v>
      </c>
      <c r="S59" s="221"/>
    </row>
    <row r="60" spans="1:19" x14ac:dyDescent="0.2">
      <c r="A60" s="213" t="s">
        <v>241</v>
      </c>
      <c r="B60" s="213"/>
      <c r="C60" s="211" t="s">
        <v>45</v>
      </c>
      <c r="D60" s="211"/>
      <c r="E60" s="211"/>
      <c r="F60" s="211"/>
      <c r="G60" s="211"/>
      <c r="H60" s="211" t="s">
        <v>293</v>
      </c>
      <c r="I60" s="211"/>
      <c r="J60" s="211"/>
      <c r="K60" s="211"/>
      <c r="L60" s="211"/>
      <c r="M60" s="211" t="s">
        <v>282</v>
      </c>
      <c r="N60" s="211"/>
      <c r="O60" s="211"/>
      <c r="P60" s="211"/>
      <c r="Q60" s="211"/>
      <c r="R60" s="212" t="s">
        <v>282</v>
      </c>
      <c r="S60" s="212"/>
    </row>
    <row r="61" spans="1:19" x14ac:dyDescent="0.2">
      <c r="A61" s="243" t="s">
        <v>221</v>
      </c>
      <c r="B61" s="53">
        <f>'MRS(input_RL_Opt1)'!$B$8</f>
        <v>2018</v>
      </c>
      <c r="C61" s="46"/>
      <c r="D61" s="46"/>
      <c r="E61" s="46"/>
      <c r="F61" s="46"/>
      <c r="G61" s="46"/>
      <c r="H61" s="66"/>
      <c r="I61" s="66"/>
      <c r="J61" s="66"/>
      <c r="K61" s="66"/>
      <c r="L61" s="66"/>
      <c r="M61" s="82">
        <f>C61*H61*C$57*H$55*H$57</f>
        <v>0</v>
      </c>
      <c r="N61" s="82">
        <f>D61*I61*D$57*I$55*I$57</f>
        <v>0</v>
      </c>
      <c r="O61" s="82">
        <f>E61*J61*E$57*J$55*J$57</f>
        <v>0</v>
      </c>
      <c r="P61" s="82">
        <f>F61*K61*F$57*K$55*K$57</f>
        <v>0</v>
      </c>
      <c r="Q61" s="82">
        <f>G61*L61*G$57*L$55*L$57</f>
        <v>0</v>
      </c>
      <c r="R61" s="222">
        <f>SUMIF(M61:Q61,"&lt;&gt;#N/A")</f>
        <v>0</v>
      </c>
      <c r="S61" s="222"/>
    </row>
    <row r="62" spans="1:19" x14ac:dyDescent="0.2">
      <c r="A62" s="243"/>
      <c r="B62" s="53">
        <f>B61+1</f>
        <v>2019</v>
      </c>
      <c r="C62" s="46"/>
      <c r="D62" s="46"/>
      <c r="E62" s="46"/>
      <c r="F62" s="46"/>
      <c r="G62" s="46"/>
      <c r="H62" s="66"/>
      <c r="I62" s="66"/>
      <c r="J62" s="66"/>
      <c r="K62" s="66"/>
      <c r="L62" s="66"/>
      <c r="M62" s="82">
        <f t="shared" ref="M62:Q72" si="10">C62*H62*C$57*H$55*H$57</f>
        <v>0</v>
      </c>
      <c r="N62" s="82">
        <f t="shared" si="10"/>
        <v>0</v>
      </c>
      <c r="O62" s="82">
        <f t="shared" si="10"/>
        <v>0</v>
      </c>
      <c r="P62" s="82">
        <f t="shared" si="10"/>
        <v>0</v>
      </c>
      <c r="Q62" s="82">
        <f t="shared" si="10"/>
        <v>0</v>
      </c>
      <c r="R62" s="222">
        <f t="shared" ref="R62:R72" si="11">SUMIF(M62:Q62,"&lt;&gt;#N/A")</f>
        <v>0</v>
      </c>
      <c r="S62" s="222"/>
    </row>
    <row r="63" spans="1:19" x14ac:dyDescent="0.2">
      <c r="A63" s="243"/>
      <c r="B63" s="53">
        <f t="shared" ref="B63:B72" si="12">B62+1</f>
        <v>2020</v>
      </c>
      <c r="C63" s="46"/>
      <c r="D63" s="46"/>
      <c r="E63" s="46"/>
      <c r="F63" s="46"/>
      <c r="G63" s="46"/>
      <c r="H63" s="66"/>
      <c r="I63" s="66"/>
      <c r="J63" s="66"/>
      <c r="K63" s="66"/>
      <c r="L63" s="66"/>
      <c r="M63" s="82">
        <f t="shared" si="10"/>
        <v>0</v>
      </c>
      <c r="N63" s="82">
        <f t="shared" si="10"/>
        <v>0</v>
      </c>
      <c r="O63" s="82">
        <f t="shared" si="10"/>
        <v>0</v>
      </c>
      <c r="P63" s="82">
        <f t="shared" si="10"/>
        <v>0</v>
      </c>
      <c r="Q63" s="82">
        <f t="shared" si="10"/>
        <v>0</v>
      </c>
      <c r="R63" s="222">
        <f t="shared" si="11"/>
        <v>0</v>
      </c>
      <c r="S63" s="222"/>
    </row>
    <row r="64" spans="1:19" x14ac:dyDescent="0.2">
      <c r="A64" s="243"/>
      <c r="B64" s="53">
        <f t="shared" si="12"/>
        <v>2021</v>
      </c>
      <c r="C64" s="46"/>
      <c r="D64" s="46"/>
      <c r="E64" s="46"/>
      <c r="F64" s="46"/>
      <c r="G64" s="46"/>
      <c r="H64" s="66"/>
      <c r="I64" s="66"/>
      <c r="J64" s="66"/>
      <c r="K64" s="66"/>
      <c r="L64" s="66"/>
      <c r="M64" s="82">
        <f t="shared" si="10"/>
        <v>0</v>
      </c>
      <c r="N64" s="82">
        <f t="shared" si="10"/>
        <v>0</v>
      </c>
      <c r="O64" s="82">
        <f t="shared" si="10"/>
        <v>0</v>
      </c>
      <c r="P64" s="82">
        <f t="shared" si="10"/>
        <v>0</v>
      </c>
      <c r="Q64" s="82">
        <f t="shared" si="10"/>
        <v>0</v>
      </c>
      <c r="R64" s="222">
        <f t="shared" si="11"/>
        <v>0</v>
      </c>
      <c r="S64" s="222"/>
    </row>
    <row r="65" spans="1:24" x14ac:dyDescent="0.2">
      <c r="A65" s="243"/>
      <c r="B65" s="53">
        <f t="shared" si="12"/>
        <v>2022</v>
      </c>
      <c r="C65" s="46"/>
      <c r="D65" s="46"/>
      <c r="E65" s="46"/>
      <c r="F65" s="46"/>
      <c r="G65" s="46"/>
      <c r="H65" s="66"/>
      <c r="I65" s="66"/>
      <c r="J65" s="66"/>
      <c r="K65" s="66"/>
      <c r="L65" s="66"/>
      <c r="M65" s="82">
        <f t="shared" si="10"/>
        <v>0</v>
      </c>
      <c r="N65" s="82">
        <f t="shared" si="10"/>
        <v>0</v>
      </c>
      <c r="O65" s="82">
        <f t="shared" si="10"/>
        <v>0</v>
      </c>
      <c r="P65" s="82">
        <f t="shared" si="10"/>
        <v>0</v>
      </c>
      <c r="Q65" s="82">
        <f t="shared" si="10"/>
        <v>0</v>
      </c>
      <c r="R65" s="222">
        <f t="shared" si="11"/>
        <v>0</v>
      </c>
      <c r="S65" s="222"/>
    </row>
    <row r="66" spans="1:24" x14ac:dyDescent="0.2">
      <c r="A66" s="243"/>
      <c r="B66" s="53">
        <f t="shared" si="12"/>
        <v>2023</v>
      </c>
      <c r="C66" s="46"/>
      <c r="D66" s="46"/>
      <c r="E66" s="46"/>
      <c r="F66" s="46"/>
      <c r="G66" s="46"/>
      <c r="H66" s="66"/>
      <c r="I66" s="66"/>
      <c r="J66" s="66"/>
      <c r="K66" s="66"/>
      <c r="L66" s="66"/>
      <c r="M66" s="82">
        <f t="shared" si="10"/>
        <v>0</v>
      </c>
      <c r="N66" s="82">
        <f t="shared" si="10"/>
        <v>0</v>
      </c>
      <c r="O66" s="82">
        <f t="shared" si="10"/>
        <v>0</v>
      </c>
      <c r="P66" s="82">
        <f t="shared" si="10"/>
        <v>0</v>
      </c>
      <c r="Q66" s="82">
        <f t="shared" si="10"/>
        <v>0</v>
      </c>
      <c r="R66" s="222">
        <f t="shared" si="11"/>
        <v>0</v>
      </c>
      <c r="S66" s="222"/>
    </row>
    <row r="67" spans="1:24" x14ac:dyDescent="0.2">
      <c r="A67" s="243"/>
      <c r="B67" s="53">
        <f t="shared" si="12"/>
        <v>2024</v>
      </c>
      <c r="C67" s="46"/>
      <c r="D67" s="46"/>
      <c r="E67" s="46"/>
      <c r="F67" s="46"/>
      <c r="G67" s="46"/>
      <c r="H67" s="66"/>
      <c r="I67" s="66"/>
      <c r="J67" s="66"/>
      <c r="K67" s="66"/>
      <c r="L67" s="66"/>
      <c r="M67" s="82">
        <f t="shared" si="10"/>
        <v>0</v>
      </c>
      <c r="N67" s="82">
        <f t="shared" si="10"/>
        <v>0</v>
      </c>
      <c r="O67" s="82">
        <f t="shared" si="10"/>
        <v>0</v>
      </c>
      <c r="P67" s="82">
        <f t="shared" si="10"/>
        <v>0</v>
      </c>
      <c r="Q67" s="82">
        <f t="shared" si="10"/>
        <v>0</v>
      </c>
      <c r="R67" s="222">
        <f t="shared" si="11"/>
        <v>0</v>
      </c>
      <c r="S67" s="222"/>
    </row>
    <row r="68" spans="1:24" x14ac:dyDescent="0.2">
      <c r="A68" s="243"/>
      <c r="B68" s="53">
        <f t="shared" si="12"/>
        <v>2025</v>
      </c>
      <c r="C68" s="46"/>
      <c r="D68" s="46"/>
      <c r="E68" s="46"/>
      <c r="F68" s="46"/>
      <c r="G68" s="46"/>
      <c r="H68" s="66"/>
      <c r="I68" s="66"/>
      <c r="J68" s="66"/>
      <c r="K68" s="66"/>
      <c r="L68" s="66"/>
      <c r="M68" s="82">
        <f t="shared" si="10"/>
        <v>0</v>
      </c>
      <c r="N68" s="82">
        <f t="shared" si="10"/>
        <v>0</v>
      </c>
      <c r="O68" s="82">
        <f t="shared" si="10"/>
        <v>0</v>
      </c>
      <c r="P68" s="82">
        <f t="shared" si="10"/>
        <v>0</v>
      </c>
      <c r="Q68" s="82">
        <f t="shared" si="10"/>
        <v>0</v>
      </c>
      <c r="R68" s="222">
        <f t="shared" si="11"/>
        <v>0</v>
      </c>
      <c r="S68" s="222"/>
    </row>
    <row r="69" spans="1:24" x14ac:dyDescent="0.2">
      <c r="A69" s="243"/>
      <c r="B69" s="53">
        <f t="shared" si="12"/>
        <v>2026</v>
      </c>
      <c r="C69" s="46"/>
      <c r="D69" s="46"/>
      <c r="E69" s="46"/>
      <c r="F69" s="46"/>
      <c r="G69" s="46"/>
      <c r="H69" s="66"/>
      <c r="I69" s="66"/>
      <c r="J69" s="66"/>
      <c r="K69" s="66"/>
      <c r="L69" s="66"/>
      <c r="M69" s="82">
        <f t="shared" si="10"/>
        <v>0</v>
      </c>
      <c r="N69" s="82">
        <f t="shared" si="10"/>
        <v>0</v>
      </c>
      <c r="O69" s="82">
        <f t="shared" si="10"/>
        <v>0</v>
      </c>
      <c r="P69" s="82">
        <f t="shared" si="10"/>
        <v>0</v>
      </c>
      <c r="Q69" s="82">
        <f t="shared" si="10"/>
        <v>0</v>
      </c>
      <c r="R69" s="222">
        <f t="shared" si="11"/>
        <v>0</v>
      </c>
      <c r="S69" s="222"/>
    </row>
    <row r="70" spans="1:24" x14ac:dyDescent="0.2">
      <c r="A70" s="243"/>
      <c r="B70" s="53">
        <f t="shared" si="12"/>
        <v>2027</v>
      </c>
      <c r="C70" s="46"/>
      <c r="D70" s="46"/>
      <c r="E70" s="46"/>
      <c r="F70" s="46"/>
      <c r="G70" s="46"/>
      <c r="H70" s="66"/>
      <c r="I70" s="66"/>
      <c r="J70" s="66"/>
      <c r="K70" s="66"/>
      <c r="L70" s="66"/>
      <c r="M70" s="82">
        <f t="shared" si="10"/>
        <v>0</v>
      </c>
      <c r="N70" s="82">
        <f t="shared" si="10"/>
        <v>0</v>
      </c>
      <c r="O70" s="82">
        <f t="shared" si="10"/>
        <v>0</v>
      </c>
      <c r="P70" s="82">
        <f t="shared" si="10"/>
        <v>0</v>
      </c>
      <c r="Q70" s="82">
        <f t="shared" si="10"/>
        <v>0</v>
      </c>
      <c r="R70" s="222">
        <f t="shared" si="11"/>
        <v>0</v>
      </c>
      <c r="S70" s="222"/>
    </row>
    <row r="71" spans="1:24" x14ac:dyDescent="0.2">
      <c r="A71" s="243"/>
      <c r="B71" s="53">
        <f t="shared" si="12"/>
        <v>2028</v>
      </c>
      <c r="C71" s="46"/>
      <c r="D71" s="46"/>
      <c r="E71" s="46"/>
      <c r="F71" s="46"/>
      <c r="G71" s="46"/>
      <c r="H71" s="66"/>
      <c r="I71" s="66"/>
      <c r="J71" s="66"/>
      <c r="K71" s="66"/>
      <c r="L71" s="66"/>
      <c r="M71" s="82">
        <f t="shared" si="10"/>
        <v>0</v>
      </c>
      <c r="N71" s="82">
        <f t="shared" si="10"/>
        <v>0</v>
      </c>
      <c r="O71" s="82">
        <f t="shared" si="10"/>
        <v>0</v>
      </c>
      <c r="P71" s="82">
        <f t="shared" si="10"/>
        <v>0</v>
      </c>
      <c r="Q71" s="82">
        <f t="shared" si="10"/>
        <v>0</v>
      </c>
      <c r="R71" s="222">
        <f t="shared" si="11"/>
        <v>0</v>
      </c>
      <c r="S71" s="222"/>
    </row>
    <row r="72" spans="1:24" x14ac:dyDescent="0.2">
      <c r="A72" s="243"/>
      <c r="B72" s="53">
        <f t="shared" si="12"/>
        <v>2029</v>
      </c>
      <c r="C72" s="46"/>
      <c r="D72" s="46"/>
      <c r="E72" s="46"/>
      <c r="F72" s="46"/>
      <c r="G72" s="46"/>
      <c r="H72" s="66"/>
      <c r="I72" s="66"/>
      <c r="J72" s="66"/>
      <c r="K72" s="66"/>
      <c r="L72" s="66"/>
      <c r="M72" s="82">
        <f t="shared" si="10"/>
        <v>0</v>
      </c>
      <c r="N72" s="82">
        <f t="shared" si="10"/>
        <v>0</v>
      </c>
      <c r="O72" s="82">
        <f t="shared" si="10"/>
        <v>0</v>
      </c>
      <c r="P72" s="82">
        <f t="shared" si="10"/>
        <v>0</v>
      </c>
      <c r="Q72" s="82">
        <f t="shared" si="10"/>
        <v>0</v>
      </c>
      <c r="R72" s="222">
        <f t="shared" si="11"/>
        <v>0</v>
      </c>
      <c r="S72" s="222"/>
    </row>
    <row r="73" spans="1:24" x14ac:dyDescent="0.2">
      <c r="A73" s="57"/>
      <c r="B73" s="58" t="s">
        <v>259</v>
      </c>
      <c r="C73" s="76" t="s">
        <v>26</v>
      </c>
      <c r="D73" s="76" t="s">
        <v>26</v>
      </c>
      <c r="E73" s="76" t="s">
        <v>26</v>
      </c>
      <c r="F73" s="76" t="s">
        <v>26</v>
      </c>
      <c r="G73" s="76" t="s">
        <v>26</v>
      </c>
      <c r="H73" s="76" t="s">
        <v>26</v>
      </c>
      <c r="I73" s="76" t="s">
        <v>26</v>
      </c>
      <c r="J73" s="76" t="s">
        <v>26</v>
      </c>
      <c r="K73" s="76" t="s">
        <v>26</v>
      </c>
      <c r="L73" s="76" t="s">
        <v>26</v>
      </c>
      <c r="M73" s="76" t="s">
        <v>26</v>
      </c>
      <c r="N73" s="76" t="s">
        <v>26</v>
      </c>
      <c r="O73" s="76" t="s">
        <v>26</v>
      </c>
      <c r="P73" s="76" t="s">
        <v>26</v>
      </c>
      <c r="Q73" s="76" t="s">
        <v>26</v>
      </c>
      <c r="R73" s="222">
        <f>SUM(R61:R72)</f>
        <v>0</v>
      </c>
      <c r="S73" s="222"/>
    </row>
    <row r="74" spans="1:24" x14ac:dyDescent="0.2">
      <c r="A74" s="85"/>
    </row>
    <row r="76" spans="1:24" x14ac:dyDescent="0.2">
      <c r="A76" s="74" t="s">
        <v>294</v>
      </c>
    </row>
    <row r="77" spans="1:24" x14ac:dyDescent="0.2">
      <c r="A77" s="213" t="s">
        <v>230</v>
      </c>
      <c r="B77" s="213"/>
      <c r="C77" s="211" t="s">
        <v>73</v>
      </c>
      <c r="D77" s="211"/>
      <c r="E77" s="211" t="s">
        <v>78</v>
      </c>
      <c r="F77" s="211"/>
      <c r="G77" s="211" t="s">
        <v>109</v>
      </c>
      <c r="H77" s="211"/>
      <c r="I77" s="211"/>
      <c r="J77" s="211" t="s">
        <v>92</v>
      </c>
      <c r="K77" s="211"/>
      <c r="L77" s="211"/>
      <c r="M77" s="211" t="s">
        <v>98</v>
      </c>
      <c r="N77" s="211"/>
      <c r="O77" s="211"/>
      <c r="P77" s="211" t="s">
        <v>101</v>
      </c>
      <c r="Q77" s="211"/>
      <c r="R77" s="211"/>
      <c r="S77" s="211" t="s">
        <v>106</v>
      </c>
      <c r="T77" s="211"/>
      <c r="U77" s="211"/>
    </row>
    <row r="78" spans="1:24" ht="46.5" customHeight="1" x14ac:dyDescent="0.2">
      <c r="A78" s="213" t="s">
        <v>235</v>
      </c>
      <c r="B78" s="213"/>
      <c r="C78" s="212" t="s">
        <v>74</v>
      </c>
      <c r="D78" s="212"/>
      <c r="E78" s="212" t="s">
        <v>79</v>
      </c>
      <c r="F78" s="212"/>
      <c r="G78" s="211" t="s">
        <v>110</v>
      </c>
      <c r="H78" s="211"/>
      <c r="I78" s="211"/>
      <c r="J78" s="211" t="s">
        <v>93</v>
      </c>
      <c r="K78" s="211"/>
      <c r="L78" s="211"/>
      <c r="M78" s="211" t="s">
        <v>99</v>
      </c>
      <c r="N78" s="211"/>
      <c r="O78" s="211"/>
      <c r="P78" s="211" t="s">
        <v>102</v>
      </c>
      <c r="Q78" s="211"/>
      <c r="R78" s="211"/>
      <c r="S78" s="211" t="s">
        <v>107</v>
      </c>
      <c r="T78" s="211"/>
      <c r="U78" s="211"/>
    </row>
    <row r="79" spans="1:24" ht="14.15" customHeight="1" x14ac:dyDescent="0.2">
      <c r="A79" s="213" t="s">
        <v>241</v>
      </c>
      <c r="B79" s="213"/>
      <c r="C79" s="212" t="s">
        <v>75</v>
      </c>
      <c r="D79" s="212"/>
      <c r="E79" s="212" t="s">
        <v>75</v>
      </c>
      <c r="F79" s="212"/>
      <c r="G79" s="211" t="s">
        <v>111</v>
      </c>
      <c r="H79" s="211"/>
      <c r="I79" s="211"/>
      <c r="J79" s="211" t="s">
        <v>94</v>
      </c>
      <c r="K79" s="211"/>
      <c r="L79" s="211"/>
      <c r="M79" s="211" t="s">
        <v>94</v>
      </c>
      <c r="N79" s="211"/>
      <c r="O79" s="211"/>
      <c r="P79" s="211" t="s">
        <v>103</v>
      </c>
      <c r="Q79" s="211"/>
      <c r="R79" s="211"/>
      <c r="S79" s="211" t="s">
        <v>103</v>
      </c>
      <c r="T79" s="211"/>
      <c r="U79" s="211"/>
      <c r="W79" s="86"/>
      <c r="X79" s="86"/>
    </row>
    <row r="80" spans="1:24" ht="44.15" customHeight="1" x14ac:dyDescent="0.2">
      <c r="A80" s="213" t="s">
        <v>295</v>
      </c>
      <c r="B80" s="213"/>
      <c r="C80" s="87" t="s">
        <v>296</v>
      </c>
      <c r="D80" s="87" t="s">
        <v>297</v>
      </c>
      <c r="E80" s="87" t="s">
        <v>296</v>
      </c>
      <c r="F80" s="87" t="s">
        <v>297</v>
      </c>
      <c r="G80" s="67"/>
      <c r="H80" s="67"/>
      <c r="I80" s="68"/>
      <c r="J80" s="88">
        <f>G80</f>
        <v>0</v>
      </c>
      <c r="K80" s="88">
        <f>H80</f>
        <v>0</v>
      </c>
      <c r="L80" s="88">
        <f>I80</f>
        <v>0</v>
      </c>
      <c r="M80" s="88">
        <f>G80</f>
        <v>0</v>
      </c>
      <c r="N80" s="88">
        <f>H80</f>
        <v>0</v>
      </c>
      <c r="O80" s="88">
        <f>L80</f>
        <v>0</v>
      </c>
      <c r="P80" s="88">
        <f>G80</f>
        <v>0</v>
      </c>
      <c r="Q80" s="88">
        <f>H80</f>
        <v>0</v>
      </c>
      <c r="R80" s="88">
        <f>O80</f>
        <v>0</v>
      </c>
      <c r="S80" s="88">
        <f>G80</f>
        <v>0</v>
      </c>
      <c r="T80" s="89">
        <f>H80</f>
        <v>0</v>
      </c>
      <c r="U80" s="88">
        <f>R80</f>
        <v>0</v>
      </c>
    </row>
    <row r="81" spans="1:32" x14ac:dyDescent="0.2">
      <c r="A81" s="213" t="s">
        <v>274</v>
      </c>
      <c r="B81" s="213"/>
      <c r="C81" s="69"/>
      <c r="D81" s="69"/>
      <c r="E81" s="69"/>
      <c r="F81" s="69"/>
      <c r="G81" s="69"/>
      <c r="H81" s="69"/>
      <c r="I81" s="69"/>
      <c r="J81" s="69"/>
      <c r="K81" s="69"/>
      <c r="L81" s="69"/>
      <c r="M81" s="69"/>
      <c r="N81" s="69"/>
      <c r="O81" s="69"/>
      <c r="P81" s="70"/>
      <c r="Q81" s="70"/>
      <c r="R81" s="70"/>
      <c r="S81" s="70"/>
      <c r="T81" s="70"/>
      <c r="U81" s="70"/>
      <c r="W81" s="86"/>
      <c r="X81" s="86"/>
    </row>
    <row r="82" spans="1:32" x14ac:dyDescent="0.2">
      <c r="A82" s="74"/>
    </row>
    <row r="83" spans="1:32" x14ac:dyDescent="0.2">
      <c r="A83" s="74"/>
    </row>
    <row r="84" spans="1:32" ht="16" x14ac:dyDescent="0.2">
      <c r="A84" s="213" t="s">
        <v>230</v>
      </c>
      <c r="B84" s="213"/>
      <c r="C84" s="211" t="s">
        <v>64</v>
      </c>
      <c r="D84" s="211"/>
      <c r="E84" s="211" t="s">
        <v>69</v>
      </c>
      <c r="F84" s="211"/>
      <c r="G84" s="211" t="s">
        <v>82</v>
      </c>
      <c r="H84" s="211"/>
      <c r="I84" s="211"/>
      <c r="J84" s="211"/>
      <c r="K84" s="211"/>
      <c r="L84" s="211"/>
      <c r="M84" s="211" t="s">
        <v>88</v>
      </c>
      <c r="N84" s="211"/>
      <c r="O84" s="211"/>
      <c r="P84" s="211"/>
      <c r="Q84" s="211"/>
      <c r="R84" s="211"/>
      <c r="S84" s="212" t="s">
        <v>298</v>
      </c>
      <c r="T84" s="212"/>
      <c r="U84" s="212" t="s">
        <v>299</v>
      </c>
      <c r="V84" s="212"/>
      <c r="W84" s="212" t="s">
        <v>300</v>
      </c>
      <c r="X84" s="212"/>
      <c r="Y84" s="49" t="s">
        <v>115</v>
      </c>
      <c r="Z84" s="49" t="s">
        <v>119</v>
      </c>
      <c r="AA84" s="49" t="s">
        <v>123</v>
      </c>
      <c r="AB84" s="49" t="s">
        <v>301</v>
      </c>
      <c r="AC84" s="49" t="s">
        <v>302</v>
      </c>
      <c r="AD84" s="49" t="s">
        <v>303</v>
      </c>
      <c r="AE84" s="49" t="s">
        <v>304</v>
      </c>
      <c r="AF84" s="49" t="s">
        <v>305</v>
      </c>
    </row>
    <row r="85" spans="1:32" ht="240.65" customHeight="1" x14ac:dyDescent="0.2">
      <c r="A85" s="213" t="s">
        <v>235</v>
      </c>
      <c r="B85" s="213"/>
      <c r="C85" s="211" t="s">
        <v>306</v>
      </c>
      <c r="D85" s="211"/>
      <c r="E85" s="211" t="s">
        <v>70</v>
      </c>
      <c r="F85" s="211"/>
      <c r="G85" s="211" t="s">
        <v>307</v>
      </c>
      <c r="H85" s="211"/>
      <c r="I85" s="211"/>
      <c r="J85" s="211"/>
      <c r="K85" s="211"/>
      <c r="L85" s="211"/>
      <c r="M85" s="211" t="s">
        <v>89</v>
      </c>
      <c r="N85" s="211"/>
      <c r="O85" s="211"/>
      <c r="P85" s="211"/>
      <c r="Q85" s="211"/>
      <c r="R85" s="211"/>
      <c r="S85" s="212" t="s">
        <v>308</v>
      </c>
      <c r="T85" s="212"/>
      <c r="U85" s="212" t="s">
        <v>309</v>
      </c>
      <c r="V85" s="212"/>
      <c r="W85" s="212" t="s">
        <v>310</v>
      </c>
      <c r="X85" s="212"/>
      <c r="Y85" s="90" t="s">
        <v>116</v>
      </c>
      <c r="Z85" s="91" t="s">
        <v>120</v>
      </c>
      <c r="AA85" s="29" t="s">
        <v>124</v>
      </c>
      <c r="AB85" s="49" t="s">
        <v>311</v>
      </c>
      <c r="AC85" s="49" t="s">
        <v>312</v>
      </c>
      <c r="AD85" s="49" t="s">
        <v>313</v>
      </c>
      <c r="AE85" s="49" t="s">
        <v>314</v>
      </c>
      <c r="AF85" s="49" t="s">
        <v>315</v>
      </c>
    </row>
    <row r="86" spans="1:32" ht="14.15" customHeight="1" x14ac:dyDescent="0.2">
      <c r="A86" s="213" t="s">
        <v>241</v>
      </c>
      <c r="B86" s="213"/>
      <c r="C86" s="211" t="s">
        <v>66</v>
      </c>
      <c r="D86" s="211"/>
      <c r="E86" s="211" t="s">
        <v>66</v>
      </c>
      <c r="F86" s="211"/>
      <c r="G86" s="211" t="s">
        <v>84</v>
      </c>
      <c r="H86" s="211"/>
      <c r="I86" s="211"/>
      <c r="J86" s="211"/>
      <c r="K86" s="211"/>
      <c r="L86" s="211"/>
      <c r="M86" s="211" t="s">
        <v>27</v>
      </c>
      <c r="N86" s="211"/>
      <c r="O86" s="211"/>
      <c r="P86" s="211"/>
      <c r="Q86" s="211"/>
      <c r="R86" s="211"/>
      <c r="S86" s="212" t="s">
        <v>316</v>
      </c>
      <c r="T86" s="212"/>
      <c r="U86" s="212" t="s">
        <v>316</v>
      </c>
      <c r="V86" s="212"/>
      <c r="W86" s="212" t="s">
        <v>316</v>
      </c>
      <c r="X86" s="212"/>
      <c r="Y86" s="49" t="s">
        <v>66</v>
      </c>
      <c r="Z86" s="49" t="s">
        <v>66</v>
      </c>
      <c r="AA86" s="49" t="s">
        <v>66</v>
      </c>
      <c r="AB86" s="49" t="s">
        <v>317</v>
      </c>
      <c r="AC86" s="49" t="s">
        <v>317</v>
      </c>
      <c r="AD86" s="49" t="s">
        <v>282</v>
      </c>
      <c r="AE86" s="49" t="s">
        <v>282</v>
      </c>
      <c r="AF86" s="49" t="s">
        <v>317</v>
      </c>
    </row>
    <row r="87" spans="1:32" ht="28.4" customHeight="1" x14ac:dyDescent="0.2">
      <c r="A87" s="213" t="s">
        <v>318</v>
      </c>
      <c r="B87" s="213"/>
      <c r="C87" s="87" t="s">
        <v>296</v>
      </c>
      <c r="D87" s="87" t="s">
        <v>297</v>
      </c>
      <c r="E87" s="87" t="s">
        <v>296</v>
      </c>
      <c r="F87" s="87" t="s">
        <v>297</v>
      </c>
      <c r="G87" s="211" t="s">
        <v>296</v>
      </c>
      <c r="H87" s="211"/>
      <c r="I87" s="211"/>
      <c r="J87" s="211" t="s">
        <v>297</v>
      </c>
      <c r="K87" s="211"/>
      <c r="L87" s="211"/>
      <c r="M87" s="211" t="s">
        <v>296</v>
      </c>
      <c r="N87" s="211"/>
      <c r="O87" s="211"/>
      <c r="P87" s="211" t="s">
        <v>297</v>
      </c>
      <c r="Q87" s="211"/>
      <c r="R87" s="211"/>
      <c r="S87" s="87" t="s">
        <v>296</v>
      </c>
      <c r="T87" s="87" t="s">
        <v>297</v>
      </c>
      <c r="U87" s="87" t="s">
        <v>296</v>
      </c>
      <c r="V87" s="87" t="s">
        <v>297</v>
      </c>
      <c r="W87" s="87" t="s">
        <v>296</v>
      </c>
      <c r="X87" s="87" t="s">
        <v>297</v>
      </c>
      <c r="Y87" s="49" t="s">
        <v>319</v>
      </c>
      <c r="Z87" s="49" t="s">
        <v>319</v>
      </c>
      <c r="AA87" s="49" t="s">
        <v>319</v>
      </c>
      <c r="AB87" s="49" t="s">
        <v>319</v>
      </c>
      <c r="AC87" s="49" t="s">
        <v>319</v>
      </c>
      <c r="AD87" s="49" t="s">
        <v>319</v>
      </c>
      <c r="AE87" s="49" t="s">
        <v>319</v>
      </c>
      <c r="AF87" s="49" t="s">
        <v>319</v>
      </c>
    </row>
    <row r="88" spans="1:32" x14ac:dyDescent="0.2">
      <c r="A88" s="213" t="s">
        <v>320</v>
      </c>
      <c r="B88" s="213"/>
      <c r="C88" s="49" t="s">
        <v>319</v>
      </c>
      <c r="D88" s="49" t="s">
        <v>319</v>
      </c>
      <c r="E88" s="49" t="s">
        <v>319</v>
      </c>
      <c r="F88" s="49" t="s">
        <v>319</v>
      </c>
      <c r="G88" s="88">
        <f>G80</f>
        <v>0</v>
      </c>
      <c r="H88" s="88">
        <f>H80</f>
        <v>0</v>
      </c>
      <c r="I88" s="88">
        <f>I80</f>
        <v>0</v>
      </c>
      <c r="J88" s="88">
        <f>G80</f>
        <v>0</v>
      </c>
      <c r="K88" s="88">
        <f>H80</f>
        <v>0</v>
      </c>
      <c r="L88" s="88">
        <f>I80</f>
        <v>0</v>
      </c>
      <c r="M88" s="88">
        <f>G80</f>
        <v>0</v>
      </c>
      <c r="N88" s="88">
        <f>H80</f>
        <v>0</v>
      </c>
      <c r="O88" s="88">
        <f>I80</f>
        <v>0</v>
      </c>
      <c r="P88" s="88">
        <f>G80</f>
        <v>0</v>
      </c>
      <c r="Q88" s="88">
        <f>H80</f>
        <v>0</v>
      </c>
      <c r="R88" s="88">
        <f>I80</f>
        <v>0</v>
      </c>
      <c r="S88" s="87" t="s">
        <v>319</v>
      </c>
      <c r="T88" s="87" t="s">
        <v>319</v>
      </c>
      <c r="U88" s="87" t="s">
        <v>319</v>
      </c>
      <c r="V88" s="87" t="s">
        <v>319</v>
      </c>
      <c r="W88" s="87" t="s">
        <v>319</v>
      </c>
      <c r="X88" s="87" t="s">
        <v>319</v>
      </c>
      <c r="Y88" s="49" t="s">
        <v>319</v>
      </c>
      <c r="Z88" s="49" t="s">
        <v>319</v>
      </c>
      <c r="AA88" s="49" t="s">
        <v>319</v>
      </c>
      <c r="AB88" s="49" t="s">
        <v>319</v>
      </c>
      <c r="AC88" s="49" t="s">
        <v>319</v>
      </c>
      <c r="AD88" s="49" t="s">
        <v>319</v>
      </c>
      <c r="AE88" s="49" t="s">
        <v>319</v>
      </c>
      <c r="AF88" s="49" t="s">
        <v>319</v>
      </c>
    </row>
    <row r="89" spans="1:32" x14ac:dyDescent="0.2">
      <c r="A89" s="243" t="s">
        <v>221</v>
      </c>
      <c r="B89" s="53">
        <f>'MRS(input_RL_Opt1)'!$B$8</f>
        <v>2018</v>
      </c>
      <c r="C89" s="71"/>
      <c r="D89" s="71"/>
      <c r="E89" s="71"/>
      <c r="F89" s="71"/>
      <c r="G89" s="71"/>
      <c r="H89" s="71"/>
      <c r="I89" s="71"/>
      <c r="J89" s="71"/>
      <c r="K89" s="71"/>
      <c r="L89" s="71"/>
      <c r="M89" s="71"/>
      <c r="N89" s="71"/>
      <c r="O89" s="71"/>
      <c r="P89" s="71"/>
      <c r="Q89" s="71"/>
      <c r="R89" s="71"/>
      <c r="S89" s="92">
        <f>C89*C$81</f>
        <v>0</v>
      </c>
      <c r="T89" s="92">
        <f t="shared" ref="T89:V100" si="13">D89*D$81</f>
        <v>0</v>
      </c>
      <c r="U89" s="92">
        <f t="shared" si="13"/>
        <v>0</v>
      </c>
      <c r="V89" s="92">
        <f t="shared" si="13"/>
        <v>0</v>
      </c>
      <c r="W89" s="92">
        <f>G89*M89*G$81*(J$81*P$81+M$81*S$81)+H89*N89*H$81*(K$81*Q$81+N$81*T$81)+I89*O89*I$81*(L$81*R$81+O$81*U$81)</f>
        <v>0</v>
      </c>
      <c r="X89" s="92">
        <f>J89*P89*G$81*(J$81*P$81+M$81*S$81)+K89*Q89*H$81*(K$81*Q$81+N$81*T$81)+L89*R89*I$81*(L$81*R$81+O$81*U$81)</f>
        <v>0</v>
      </c>
      <c r="Y89" s="72"/>
      <c r="Z89" s="72"/>
      <c r="AA89" s="72"/>
      <c r="AB89" s="93">
        <f>SUM(S89,U89,W89)*'MRS(calc_process_Option1)'!E$94*(44/28)*'MRS(calc_process_Option1)'!E$104+SUM(T89,V89,X89)*'MRS(calc_process_Option1)'!E$95*(44/28)*'MRS(calc_process_Option1)'!E$104</f>
        <v>0</v>
      </c>
      <c r="AC89" s="93">
        <f>((SUM(S89:T89)*'MRS(calc_process_Option1)'!E$96+SUM(U89:V89)*'MRS(calc_process_Option1)'!E$97)*'MRS(calc_process_Option1)'!E$98+SUM(S89:X89)*'MRS(calc_process_Option1)'!E$99*'MRS(calc_process_Option1)'!E$100)*44/28*'MRS(calc_process_Option1)'!E$104</f>
        <v>0</v>
      </c>
      <c r="AD89" s="93">
        <f>(Y89*'MRS(calc_process_Option1)'!E$101+'MRS(input_PJ_Opt1)'!Z89*'MRS(calc_process_Option1)'!E$102)*(44/12)</f>
        <v>0</v>
      </c>
      <c r="AE89" s="93">
        <f>AA89*'MRS(calc_process_Option1)'!E$103*(44/12)</f>
        <v>0</v>
      </c>
      <c r="AF89" s="93">
        <f>SUM(AB89:AE89)</f>
        <v>0</v>
      </c>
    </row>
    <row r="90" spans="1:32" x14ac:dyDescent="0.2">
      <c r="A90" s="243"/>
      <c r="B90" s="53">
        <f>B89+1</f>
        <v>2019</v>
      </c>
      <c r="C90" s="71"/>
      <c r="D90" s="71"/>
      <c r="E90" s="71"/>
      <c r="F90" s="71"/>
      <c r="G90" s="71"/>
      <c r="H90" s="71"/>
      <c r="I90" s="71"/>
      <c r="J90" s="71"/>
      <c r="K90" s="71"/>
      <c r="L90" s="71"/>
      <c r="M90" s="71"/>
      <c r="N90" s="71"/>
      <c r="O90" s="71"/>
      <c r="P90" s="71"/>
      <c r="Q90" s="71"/>
      <c r="R90" s="71"/>
      <c r="S90" s="92">
        <f>C90*C$81</f>
        <v>0</v>
      </c>
      <c r="T90" s="92">
        <f t="shared" si="13"/>
        <v>0</v>
      </c>
      <c r="U90" s="92">
        <f t="shared" si="13"/>
        <v>0</v>
      </c>
      <c r="V90" s="92">
        <f t="shared" si="13"/>
        <v>0</v>
      </c>
      <c r="W90" s="92">
        <f t="shared" ref="W90:W99" si="14">G90*M90*G$81*(J$81*P$81+M$81*S$81)+H90*N90*H$81*(K$81*Q$81+N$81*T$81)+I90*O90*I$81*(L$81*R$81+O$81*U$81)</f>
        <v>0</v>
      </c>
      <c r="X90" s="92">
        <f t="shared" ref="X90:X99" si="15">J90*P90*G$81*(J$81*P$81+M$81*S$81)+K90*Q90*H$81*(K$81*Q$81+N$81*T$81)+L90*R90*I$81*(L$81*R$81+O$81*U$81)</f>
        <v>0</v>
      </c>
      <c r="Y90" s="72"/>
      <c r="Z90" s="72"/>
      <c r="AA90" s="72"/>
      <c r="AB90" s="93">
        <f>SUM(S90,U90,W90)*'MRS(calc_process_Option1)'!E$94*(44/28)*'MRS(calc_process_Option1)'!E$104+SUM(T90,V90,X90)*'MRS(calc_process_Option1)'!E$95*(44/28)*'MRS(calc_process_Option1)'!E$104</f>
        <v>0</v>
      </c>
      <c r="AC90" s="93">
        <f>((SUM(S90:T90)*'MRS(calc_process_Option1)'!E$96+SUM(U90:V90)*'MRS(calc_process_Option1)'!E$97)*'MRS(calc_process_Option1)'!E$98+SUM(S90:X90)*'MRS(calc_process_Option1)'!E$99*'MRS(calc_process_Option1)'!E$100)*44/28*'MRS(calc_process_Option1)'!E$104</f>
        <v>0</v>
      </c>
      <c r="AD90" s="93">
        <f>(Y90*'MRS(calc_process_Option1)'!E$101+'MRS(input_PJ_Opt1)'!Z90*'MRS(calc_process_Option1)'!E$102)*(44/12)</f>
        <v>0</v>
      </c>
      <c r="AE90" s="93">
        <f>AA90*'MRS(calc_process_Option1)'!E$103*(44/12)</f>
        <v>0</v>
      </c>
      <c r="AF90" s="93">
        <f t="shared" ref="AF90:AF100" si="16">SUM(AB90:AE90)</f>
        <v>0</v>
      </c>
    </row>
    <row r="91" spans="1:32" x14ac:dyDescent="0.2">
      <c r="A91" s="243"/>
      <c r="B91" s="53">
        <f t="shared" ref="B91:B100" si="17">B90+1</f>
        <v>2020</v>
      </c>
      <c r="C91" s="71"/>
      <c r="D91" s="71"/>
      <c r="E91" s="71"/>
      <c r="F91" s="71"/>
      <c r="G91" s="71"/>
      <c r="H91" s="71"/>
      <c r="I91" s="71"/>
      <c r="J91" s="71"/>
      <c r="K91" s="71"/>
      <c r="L91" s="71"/>
      <c r="M91" s="71"/>
      <c r="N91" s="71"/>
      <c r="O91" s="71"/>
      <c r="P91" s="71"/>
      <c r="Q91" s="71"/>
      <c r="R91" s="71"/>
      <c r="S91" s="92">
        <f t="shared" ref="S91:S100" si="18">C91*C$81</f>
        <v>0</v>
      </c>
      <c r="T91" s="92">
        <f t="shared" si="13"/>
        <v>0</v>
      </c>
      <c r="U91" s="92">
        <f t="shared" si="13"/>
        <v>0</v>
      </c>
      <c r="V91" s="92">
        <f t="shared" si="13"/>
        <v>0</v>
      </c>
      <c r="W91" s="92">
        <f t="shared" si="14"/>
        <v>0</v>
      </c>
      <c r="X91" s="92">
        <f t="shared" si="15"/>
        <v>0</v>
      </c>
      <c r="Y91" s="72"/>
      <c r="Z91" s="72"/>
      <c r="AA91" s="72"/>
      <c r="AB91" s="93">
        <f>SUM(S91,U91,W91)*'MRS(calc_process_Option1)'!E$94*(44/28)*'MRS(calc_process_Option1)'!E$104+SUM(T91,V91,X91)*'MRS(calc_process_Option1)'!E$95*(44/28)*'MRS(calc_process_Option1)'!E$104</f>
        <v>0</v>
      </c>
      <c r="AC91" s="93">
        <f>((SUM(S91:T91)*'MRS(calc_process_Option1)'!E$96+SUM(U91:V91)*'MRS(calc_process_Option1)'!E$97)*'MRS(calc_process_Option1)'!E$98+SUM(S91:X91)*'MRS(calc_process_Option1)'!E$99*'MRS(calc_process_Option1)'!E$100)*44/28*'MRS(calc_process_Option1)'!E$104</f>
        <v>0</v>
      </c>
      <c r="AD91" s="93">
        <f>(Y91*'MRS(calc_process_Option1)'!E$101+'MRS(input_PJ_Opt1)'!Z91*'MRS(calc_process_Option1)'!E$102)*(44/12)</f>
        <v>0</v>
      </c>
      <c r="AE91" s="93">
        <f>AA91*'MRS(calc_process_Option1)'!E$103*(44/12)</f>
        <v>0</v>
      </c>
      <c r="AF91" s="93">
        <f t="shared" si="16"/>
        <v>0</v>
      </c>
    </row>
    <row r="92" spans="1:32" x14ac:dyDescent="0.2">
      <c r="A92" s="243"/>
      <c r="B92" s="53">
        <f t="shared" si="17"/>
        <v>2021</v>
      </c>
      <c r="C92" s="71"/>
      <c r="D92" s="71"/>
      <c r="E92" s="71"/>
      <c r="F92" s="71"/>
      <c r="G92" s="71"/>
      <c r="H92" s="71"/>
      <c r="I92" s="71"/>
      <c r="J92" s="71"/>
      <c r="K92" s="71"/>
      <c r="L92" s="71"/>
      <c r="M92" s="71"/>
      <c r="N92" s="71"/>
      <c r="O92" s="71"/>
      <c r="P92" s="71"/>
      <c r="Q92" s="71"/>
      <c r="R92" s="71"/>
      <c r="S92" s="92">
        <f t="shared" si="18"/>
        <v>0</v>
      </c>
      <c r="T92" s="92">
        <f t="shared" si="13"/>
        <v>0</v>
      </c>
      <c r="U92" s="92">
        <f t="shared" si="13"/>
        <v>0</v>
      </c>
      <c r="V92" s="92">
        <f t="shared" si="13"/>
        <v>0</v>
      </c>
      <c r="W92" s="92">
        <f t="shared" si="14"/>
        <v>0</v>
      </c>
      <c r="X92" s="92">
        <f t="shared" si="15"/>
        <v>0</v>
      </c>
      <c r="Y92" s="72"/>
      <c r="Z92" s="72"/>
      <c r="AA92" s="72"/>
      <c r="AB92" s="93">
        <f>SUM(S92,U92,W92)*'MRS(calc_process_Option1)'!E$94*(44/28)*'MRS(calc_process_Option1)'!E$104+SUM(T92,V92,X92)*'MRS(calc_process_Option1)'!E$95*(44/28)*'MRS(calc_process_Option1)'!E$104</f>
        <v>0</v>
      </c>
      <c r="AC92" s="93">
        <f>((SUM(S92:T92)*'MRS(calc_process_Option1)'!E$96+SUM(U92:V92)*'MRS(calc_process_Option1)'!E$97)*'MRS(calc_process_Option1)'!E$98+SUM(S92:X92)*'MRS(calc_process_Option1)'!E$99*'MRS(calc_process_Option1)'!E$100)*44/28*'MRS(calc_process_Option1)'!E$104</f>
        <v>0</v>
      </c>
      <c r="AD92" s="93">
        <f>(Y92*'MRS(calc_process_Option1)'!E$101+'MRS(input_PJ_Opt1)'!Z92*'MRS(calc_process_Option1)'!E$102)*(44/12)</f>
        <v>0</v>
      </c>
      <c r="AE92" s="93">
        <f>AA92*'MRS(calc_process_Option1)'!E$103*(44/12)</f>
        <v>0</v>
      </c>
      <c r="AF92" s="93">
        <f t="shared" si="16"/>
        <v>0</v>
      </c>
    </row>
    <row r="93" spans="1:32" x14ac:dyDescent="0.2">
      <c r="A93" s="243"/>
      <c r="B93" s="53">
        <f t="shared" si="17"/>
        <v>2022</v>
      </c>
      <c r="C93" s="71"/>
      <c r="D93" s="71"/>
      <c r="E93" s="71"/>
      <c r="F93" s="71"/>
      <c r="G93" s="71"/>
      <c r="H93" s="71"/>
      <c r="I93" s="71"/>
      <c r="J93" s="71"/>
      <c r="K93" s="71"/>
      <c r="L93" s="71"/>
      <c r="M93" s="71"/>
      <c r="N93" s="71"/>
      <c r="O93" s="71"/>
      <c r="P93" s="71"/>
      <c r="Q93" s="71"/>
      <c r="R93" s="71"/>
      <c r="S93" s="92">
        <f t="shared" si="18"/>
        <v>0</v>
      </c>
      <c r="T93" s="92">
        <f t="shared" si="13"/>
        <v>0</v>
      </c>
      <c r="U93" s="92">
        <f t="shared" si="13"/>
        <v>0</v>
      </c>
      <c r="V93" s="92">
        <f t="shared" si="13"/>
        <v>0</v>
      </c>
      <c r="W93" s="92">
        <f t="shared" si="14"/>
        <v>0</v>
      </c>
      <c r="X93" s="92">
        <f t="shared" si="15"/>
        <v>0</v>
      </c>
      <c r="Y93" s="72"/>
      <c r="Z93" s="72"/>
      <c r="AA93" s="72"/>
      <c r="AB93" s="93">
        <f>SUM(S93,U93,W93)*'MRS(calc_process_Option1)'!E$94*(44/28)*'MRS(calc_process_Option1)'!E$104+SUM(T93,V93,X93)*'MRS(calc_process_Option1)'!E$95*(44/28)*'MRS(calc_process_Option1)'!E$104</f>
        <v>0</v>
      </c>
      <c r="AC93" s="93">
        <f>((SUM(S93:T93)*'MRS(calc_process_Option1)'!E$96+SUM(U93:V93)*'MRS(calc_process_Option1)'!E$97)*'MRS(calc_process_Option1)'!E$98+SUM(S93:X93)*'MRS(calc_process_Option1)'!E$99*'MRS(calc_process_Option1)'!E$100)*44/28*'MRS(calc_process_Option1)'!E$104</f>
        <v>0</v>
      </c>
      <c r="AD93" s="93">
        <f>(Y93*'MRS(calc_process_Option1)'!E$101+'MRS(input_PJ_Opt1)'!Z93*'MRS(calc_process_Option1)'!E$102)*(44/12)</f>
        <v>0</v>
      </c>
      <c r="AE93" s="93">
        <f>AA93*'MRS(calc_process_Option1)'!E$103*(44/12)</f>
        <v>0</v>
      </c>
      <c r="AF93" s="93">
        <f t="shared" si="16"/>
        <v>0</v>
      </c>
    </row>
    <row r="94" spans="1:32" x14ac:dyDescent="0.2">
      <c r="A94" s="243"/>
      <c r="B94" s="53">
        <f t="shared" si="17"/>
        <v>2023</v>
      </c>
      <c r="C94" s="71"/>
      <c r="D94" s="71"/>
      <c r="E94" s="71"/>
      <c r="F94" s="71"/>
      <c r="G94" s="71"/>
      <c r="H94" s="71"/>
      <c r="I94" s="71"/>
      <c r="J94" s="71"/>
      <c r="K94" s="71"/>
      <c r="L94" s="71"/>
      <c r="M94" s="71"/>
      <c r="N94" s="71"/>
      <c r="O94" s="71"/>
      <c r="P94" s="71"/>
      <c r="Q94" s="71"/>
      <c r="R94" s="71"/>
      <c r="S94" s="92">
        <f t="shared" si="18"/>
        <v>0</v>
      </c>
      <c r="T94" s="92">
        <f t="shared" si="13"/>
        <v>0</v>
      </c>
      <c r="U94" s="92">
        <f t="shared" si="13"/>
        <v>0</v>
      </c>
      <c r="V94" s="92">
        <f t="shared" si="13"/>
        <v>0</v>
      </c>
      <c r="W94" s="92">
        <f t="shared" si="14"/>
        <v>0</v>
      </c>
      <c r="X94" s="92">
        <f t="shared" si="15"/>
        <v>0</v>
      </c>
      <c r="Y94" s="72"/>
      <c r="Z94" s="72"/>
      <c r="AA94" s="72"/>
      <c r="AB94" s="93">
        <f>SUM(S94,U94,W94)*'MRS(calc_process_Option1)'!E$94*(44/28)*'MRS(calc_process_Option1)'!E$104+SUM(T94,V94,X94)*'MRS(calc_process_Option1)'!E$95*(44/28)*'MRS(calc_process_Option1)'!E$104</f>
        <v>0</v>
      </c>
      <c r="AC94" s="93">
        <f>((SUM(S94:T94)*'MRS(calc_process_Option1)'!E$96+SUM(U94:V94)*'MRS(calc_process_Option1)'!E$97)*'MRS(calc_process_Option1)'!E$98+SUM(S94:X94)*'MRS(calc_process_Option1)'!E$99*'MRS(calc_process_Option1)'!E$100)*44/28*'MRS(calc_process_Option1)'!E$104</f>
        <v>0</v>
      </c>
      <c r="AD94" s="93">
        <f>(Y94*'MRS(calc_process_Option1)'!E$101+'MRS(input_PJ_Opt1)'!Z94*'MRS(calc_process_Option1)'!E$102)*(44/12)</f>
        <v>0</v>
      </c>
      <c r="AE94" s="93">
        <f>AA94*'MRS(calc_process_Option1)'!E$103*(44/12)</f>
        <v>0</v>
      </c>
      <c r="AF94" s="93">
        <f t="shared" si="16"/>
        <v>0</v>
      </c>
    </row>
    <row r="95" spans="1:32" x14ac:dyDescent="0.2">
      <c r="A95" s="243"/>
      <c r="B95" s="53">
        <f t="shared" si="17"/>
        <v>2024</v>
      </c>
      <c r="C95" s="71"/>
      <c r="D95" s="71"/>
      <c r="E95" s="71"/>
      <c r="F95" s="71"/>
      <c r="G95" s="71"/>
      <c r="H95" s="71"/>
      <c r="I95" s="71"/>
      <c r="J95" s="71"/>
      <c r="K95" s="71"/>
      <c r="L95" s="71"/>
      <c r="M95" s="71"/>
      <c r="N95" s="71"/>
      <c r="O95" s="71"/>
      <c r="P95" s="71"/>
      <c r="Q95" s="71"/>
      <c r="R95" s="71"/>
      <c r="S95" s="92">
        <f t="shared" si="18"/>
        <v>0</v>
      </c>
      <c r="T95" s="92">
        <f t="shared" si="13"/>
        <v>0</v>
      </c>
      <c r="U95" s="92">
        <f t="shared" si="13"/>
        <v>0</v>
      </c>
      <c r="V95" s="92">
        <f t="shared" si="13"/>
        <v>0</v>
      </c>
      <c r="W95" s="92">
        <f t="shared" si="14"/>
        <v>0</v>
      </c>
      <c r="X95" s="92">
        <f t="shared" si="15"/>
        <v>0</v>
      </c>
      <c r="Y95" s="72"/>
      <c r="Z95" s="72"/>
      <c r="AA95" s="72"/>
      <c r="AB95" s="93">
        <f>SUM(S95,U95,W95)*'MRS(calc_process_Option1)'!E$94*(44/28)*'MRS(calc_process_Option1)'!E$104+SUM(T95,V95,X95)*'MRS(calc_process_Option1)'!E$95*(44/28)*'MRS(calc_process_Option1)'!E$104</f>
        <v>0</v>
      </c>
      <c r="AC95" s="93">
        <f>((SUM(S95:T95)*'MRS(calc_process_Option1)'!E$96+SUM(U95:V95)*'MRS(calc_process_Option1)'!E$97)*'MRS(calc_process_Option1)'!E$98+SUM(S95:X95)*'MRS(calc_process_Option1)'!E$99*'MRS(calc_process_Option1)'!E$100)*44/28*'MRS(calc_process_Option1)'!E$104</f>
        <v>0</v>
      </c>
      <c r="AD95" s="93">
        <f>(Y95*'MRS(calc_process_Option1)'!E$101+'MRS(input_PJ_Opt1)'!Z95*'MRS(calc_process_Option1)'!E$102)*(44/12)</f>
        <v>0</v>
      </c>
      <c r="AE95" s="93">
        <f>AA95*'MRS(calc_process_Option1)'!E$103*(44/12)</f>
        <v>0</v>
      </c>
      <c r="AF95" s="93">
        <f t="shared" si="16"/>
        <v>0</v>
      </c>
    </row>
    <row r="96" spans="1:32" x14ac:dyDescent="0.2">
      <c r="A96" s="243"/>
      <c r="B96" s="53">
        <f t="shared" si="17"/>
        <v>2025</v>
      </c>
      <c r="C96" s="71"/>
      <c r="D96" s="71"/>
      <c r="E96" s="71"/>
      <c r="F96" s="71"/>
      <c r="G96" s="71"/>
      <c r="H96" s="71"/>
      <c r="I96" s="71"/>
      <c r="J96" s="71"/>
      <c r="K96" s="71"/>
      <c r="L96" s="71"/>
      <c r="M96" s="71"/>
      <c r="N96" s="71"/>
      <c r="O96" s="71"/>
      <c r="P96" s="71"/>
      <c r="Q96" s="71"/>
      <c r="R96" s="71"/>
      <c r="S96" s="92">
        <f t="shared" si="18"/>
        <v>0</v>
      </c>
      <c r="T96" s="92">
        <f t="shared" si="13"/>
        <v>0</v>
      </c>
      <c r="U96" s="92">
        <f t="shared" si="13"/>
        <v>0</v>
      </c>
      <c r="V96" s="92">
        <f t="shared" si="13"/>
        <v>0</v>
      </c>
      <c r="W96" s="92">
        <f t="shared" si="14"/>
        <v>0</v>
      </c>
      <c r="X96" s="92">
        <f t="shared" si="15"/>
        <v>0</v>
      </c>
      <c r="Y96" s="72"/>
      <c r="Z96" s="72"/>
      <c r="AA96" s="72"/>
      <c r="AB96" s="93">
        <f>SUM(S96,U96,W96)*'MRS(calc_process_Option1)'!E$94*(44/28)*'MRS(calc_process_Option1)'!E$104+SUM(T96,V96,X96)*'MRS(calc_process_Option1)'!E$95*(44/28)*'MRS(calc_process_Option1)'!E$104</f>
        <v>0</v>
      </c>
      <c r="AC96" s="93">
        <f>((SUM(S96:T96)*'MRS(calc_process_Option1)'!E$96+SUM(U96:V96)*'MRS(calc_process_Option1)'!E$97)*'MRS(calc_process_Option1)'!E$98+SUM(S96:X96)*'MRS(calc_process_Option1)'!E$99*'MRS(calc_process_Option1)'!E$100)*44/28*'MRS(calc_process_Option1)'!E$104</f>
        <v>0</v>
      </c>
      <c r="AD96" s="93">
        <f>(Y96*'MRS(calc_process_Option1)'!E$101+'MRS(input_PJ_Opt1)'!Z96*'MRS(calc_process_Option1)'!E$102)*(44/12)</f>
        <v>0</v>
      </c>
      <c r="AE96" s="93">
        <f>AA96*'MRS(calc_process_Option1)'!E$103*(44/12)</f>
        <v>0</v>
      </c>
      <c r="AF96" s="93">
        <f t="shared" si="16"/>
        <v>0</v>
      </c>
    </row>
    <row r="97" spans="1:54" x14ac:dyDescent="0.2">
      <c r="A97" s="243"/>
      <c r="B97" s="53">
        <f t="shared" si="17"/>
        <v>2026</v>
      </c>
      <c r="C97" s="71"/>
      <c r="D97" s="71"/>
      <c r="E97" s="71"/>
      <c r="F97" s="71"/>
      <c r="G97" s="71"/>
      <c r="H97" s="71"/>
      <c r="I97" s="71"/>
      <c r="J97" s="71"/>
      <c r="K97" s="71"/>
      <c r="L97" s="71"/>
      <c r="M97" s="71"/>
      <c r="N97" s="71"/>
      <c r="O97" s="71"/>
      <c r="P97" s="71"/>
      <c r="Q97" s="71"/>
      <c r="R97" s="71"/>
      <c r="S97" s="92">
        <f t="shared" si="18"/>
        <v>0</v>
      </c>
      <c r="T97" s="92">
        <f t="shared" si="13"/>
        <v>0</v>
      </c>
      <c r="U97" s="92">
        <f t="shared" si="13"/>
        <v>0</v>
      </c>
      <c r="V97" s="92">
        <f t="shared" si="13"/>
        <v>0</v>
      </c>
      <c r="W97" s="92">
        <f t="shared" si="14"/>
        <v>0</v>
      </c>
      <c r="X97" s="92">
        <f t="shared" si="15"/>
        <v>0</v>
      </c>
      <c r="Y97" s="72"/>
      <c r="Z97" s="72"/>
      <c r="AA97" s="72"/>
      <c r="AB97" s="93">
        <f>SUM(S97,U97,W97)*'MRS(calc_process_Option1)'!E$94*(44/28)*'MRS(calc_process_Option1)'!E$104+SUM(T97,V97,X97)*'MRS(calc_process_Option1)'!E$95*(44/28)*'MRS(calc_process_Option1)'!E$104</f>
        <v>0</v>
      </c>
      <c r="AC97" s="93">
        <f>((SUM(S97:T97)*'MRS(calc_process_Option1)'!E$96+SUM(U97:V97)*'MRS(calc_process_Option1)'!E$97)*'MRS(calc_process_Option1)'!E$98+SUM(S97:X97)*'MRS(calc_process_Option1)'!E$99*'MRS(calc_process_Option1)'!E$100)*44/28*'MRS(calc_process_Option1)'!E$104</f>
        <v>0</v>
      </c>
      <c r="AD97" s="93">
        <f>(Y97*'MRS(calc_process_Option1)'!E$101+'MRS(input_PJ_Opt1)'!Z97*'MRS(calc_process_Option1)'!E$102)*(44/12)</f>
        <v>0</v>
      </c>
      <c r="AE97" s="93">
        <f>AA97*'MRS(calc_process_Option1)'!E$103*(44/12)</f>
        <v>0</v>
      </c>
      <c r="AF97" s="93">
        <f t="shared" si="16"/>
        <v>0</v>
      </c>
    </row>
    <row r="98" spans="1:54" x14ac:dyDescent="0.2">
      <c r="A98" s="243"/>
      <c r="B98" s="53">
        <f t="shared" si="17"/>
        <v>2027</v>
      </c>
      <c r="C98" s="71"/>
      <c r="D98" s="71"/>
      <c r="E98" s="71"/>
      <c r="F98" s="71"/>
      <c r="G98" s="71"/>
      <c r="H98" s="71"/>
      <c r="I98" s="71"/>
      <c r="J98" s="71"/>
      <c r="K98" s="71"/>
      <c r="L98" s="71"/>
      <c r="M98" s="71"/>
      <c r="N98" s="71"/>
      <c r="O98" s="71"/>
      <c r="P98" s="71"/>
      <c r="Q98" s="71"/>
      <c r="R98" s="71"/>
      <c r="S98" s="92">
        <f t="shared" si="18"/>
        <v>0</v>
      </c>
      <c r="T98" s="92">
        <f t="shared" si="13"/>
        <v>0</v>
      </c>
      <c r="U98" s="92">
        <f t="shared" si="13"/>
        <v>0</v>
      </c>
      <c r="V98" s="92">
        <f t="shared" si="13"/>
        <v>0</v>
      </c>
      <c r="W98" s="92">
        <f t="shared" si="14"/>
        <v>0</v>
      </c>
      <c r="X98" s="92">
        <f t="shared" si="15"/>
        <v>0</v>
      </c>
      <c r="Y98" s="72"/>
      <c r="Z98" s="72"/>
      <c r="AA98" s="72"/>
      <c r="AB98" s="93">
        <f>SUM(S98,U98,W98)*'MRS(calc_process_Option1)'!E$94*(44/28)*'MRS(calc_process_Option1)'!E$104+SUM(T98,V98,X98)*'MRS(calc_process_Option1)'!E$95*(44/28)*'MRS(calc_process_Option1)'!E$104</f>
        <v>0</v>
      </c>
      <c r="AC98" s="93">
        <f>((SUM(S98:T98)*'MRS(calc_process_Option1)'!E$96+SUM(U98:V98)*'MRS(calc_process_Option1)'!E$97)*'MRS(calc_process_Option1)'!E$98+SUM(S98:X98)*'MRS(calc_process_Option1)'!E$99*'MRS(calc_process_Option1)'!E$100)*44/28*'MRS(calc_process_Option1)'!E$104</f>
        <v>0</v>
      </c>
      <c r="AD98" s="93">
        <f>(Y98*'MRS(calc_process_Option1)'!E$101+'MRS(input_PJ_Opt1)'!Z98*'MRS(calc_process_Option1)'!E$102)*(44/12)</f>
        <v>0</v>
      </c>
      <c r="AE98" s="93">
        <f>AA98*'MRS(calc_process_Option1)'!E$103*(44/12)</f>
        <v>0</v>
      </c>
      <c r="AF98" s="93">
        <f t="shared" si="16"/>
        <v>0</v>
      </c>
    </row>
    <row r="99" spans="1:54" x14ac:dyDescent="0.2">
      <c r="A99" s="243"/>
      <c r="B99" s="53">
        <f t="shared" si="17"/>
        <v>2028</v>
      </c>
      <c r="C99" s="71"/>
      <c r="D99" s="71"/>
      <c r="E99" s="71"/>
      <c r="F99" s="71"/>
      <c r="G99" s="71"/>
      <c r="H99" s="71"/>
      <c r="I99" s="71"/>
      <c r="J99" s="71"/>
      <c r="K99" s="71"/>
      <c r="L99" s="71"/>
      <c r="M99" s="71"/>
      <c r="N99" s="71"/>
      <c r="O99" s="71"/>
      <c r="P99" s="71"/>
      <c r="Q99" s="71"/>
      <c r="R99" s="71"/>
      <c r="S99" s="92">
        <f t="shared" si="18"/>
        <v>0</v>
      </c>
      <c r="T99" s="92">
        <f t="shared" si="13"/>
        <v>0</v>
      </c>
      <c r="U99" s="92">
        <f t="shared" si="13"/>
        <v>0</v>
      </c>
      <c r="V99" s="92">
        <f t="shared" si="13"/>
        <v>0</v>
      </c>
      <c r="W99" s="92">
        <f t="shared" si="14"/>
        <v>0</v>
      </c>
      <c r="X99" s="92">
        <f t="shared" si="15"/>
        <v>0</v>
      </c>
      <c r="Y99" s="72"/>
      <c r="Z99" s="72"/>
      <c r="AA99" s="72"/>
      <c r="AB99" s="93">
        <f>SUM(S99,U99,W99)*'MRS(calc_process_Option1)'!E$94*(44/28)*'MRS(calc_process_Option1)'!E$104+SUM(T99,V99,X99)*'MRS(calc_process_Option1)'!E$95*(44/28)*'MRS(calc_process_Option1)'!E$104</f>
        <v>0</v>
      </c>
      <c r="AC99" s="93">
        <f>((SUM(S99:T99)*'MRS(calc_process_Option1)'!E$96+SUM(U99:V99)*'MRS(calc_process_Option1)'!E$97)*'MRS(calc_process_Option1)'!E$98+SUM(S99:X99)*'MRS(calc_process_Option1)'!E$99*'MRS(calc_process_Option1)'!E$100)*44/28*'MRS(calc_process_Option1)'!E$104</f>
        <v>0</v>
      </c>
      <c r="AD99" s="93">
        <f>(Y99*'MRS(calc_process_Option1)'!E$101+'MRS(input_PJ_Opt1)'!Z99*'MRS(calc_process_Option1)'!E$102)*(44/12)</f>
        <v>0</v>
      </c>
      <c r="AE99" s="93">
        <f>AA99*'MRS(calc_process_Option1)'!E$103*(44/12)</f>
        <v>0</v>
      </c>
      <c r="AF99" s="93">
        <f t="shared" si="16"/>
        <v>0</v>
      </c>
    </row>
    <row r="100" spans="1:54" x14ac:dyDescent="0.2">
      <c r="A100" s="243"/>
      <c r="B100" s="53">
        <f t="shared" si="17"/>
        <v>2029</v>
      </c>
      <c r="C100" s="71"/>
      <c r="D100" s="71"/>
      <c r="E100" s="71"/>
      <c r="F100" s="71"/>
      <c r="G100" s="71"/>
      <c r="H100" s="71"/>
      <c r="I100" s="71"/>
      <c r="J100" s="71"/>
      <c r="K100" s="71"/>
      <c r="L100" s="71"/>
      <c r="M100" s="71"/>
      <c r="N100" s="71"/>
      <c r="O100" s="71"/>
      <c r="P100" s="71"/>
      <c r="Q100" s="71"/>
      <c r="R100" s="71"/>
      <c r="S100" s="92">
        <f t="shared" si="18"/>
        <v>0</v>
      </c>
      <c r="T100" s="92">
        <f t="shared" si="13"/>
        <v>0</v>
      </c>
      <c r="U100" s="92">
        <f t="shared" si="13"/>
        <v>0</v>
      </c>
      <c r="V100" s="92">
        <f t="shared" si="13"/>
        <v>0</v>
      </c>
      <c r="W100" s="92">
        <f>G100*M100*G$81*(J$81*P$81+M$81*S$81)+H100*N100*H$81*(K$81*Q$81+N$81*T$81)+I100*O100*I$81*(L$81*R$81+O$81*U$81)</f>
        <v>0</v>
      </c>
      <c r="X100" s="92">
        <f>J100*P100*G$81*(J$81*P$81+M$81*S$81)+K100*Q100*H$81*(K$81*Q$81+N$81*T$81)+L100*R100*I$81*(L$81*R$81+O$81*U$81)</f>
        <v>0</v>
      </c>
      <c r="Y100" s="72"/>
      <c r="Z100" s="72"/>
      <c r="AA100" s="72"/>
      <c r="AB100" s="93">
        <f>SUM(S100,U100,W100)*'MRS(calc_process_Option1)'!E$94*(44/28)*'MRS(calc_process_Option1)'!E$104+SUM(T100,V100,X100)*'MRS(calc_process_Option1)'!E$95*(44/28)*'MRS(calc_process_Option1)'!E$104</f>
        <v>0</v>
      </c>
      <c r="AC100" s="93">
        <f>((SUM(S100:T100)*'MRS(calc_process_Option1)'!E$96+SUM(U100:V100)*'MRS(calc_process_Option1)'!E$97)*'MRS(calc_process_Option1)'!E$98+SUM(S100:X100)*'MRS(calc_process_Option1)'!E$99*'MRS(calc_process_Option1)'!E$100)*44/28*'MRS(calc_process_Option1)'!E$104</f>
        <v>0</v>
      </c>
      <c r="AD100" s="93">
        <f>(Y100*'MRS(calc_process_Option1)'!E$101+'MRS(input_PJ_Opt1)'!Z100*'MRS(calc_process_Option1)'!E$102)*(44/12)</f>
        <v>0</v>
      </c>
      <c r="AE100" s="93">
        <f>AA100*'MRS(calc_process_Option1)'!E$103*(44/12)</f>
        <v>0</v>
      </c>
      <c r="AF100" s="93">
        <f t="shared" si="16"/>
        <v>0</v>
      </c>
    </row>
    <row r="101" spans="1:54" x14ac:dyDescent="0.2">
      <c r="A101" s="57"/>
      <c r="B101" s="58" t="s">
        <v>259</v>
      </c>
      <c r="C101" s="76" t="s">
        <v>26</v>
      </c>
      <c r="D101" s="76" t="s">
        <v>26</v>
      </c>
      <c r="E101" s="76" t="s">
        <v>26</v>
      </c>
      <c r="F101" s="76" t="s">
        <v>26</v>
      </c>
      <c r="G101" s="76" t="s">
        <v>26</v>
      </c>
      <c r="H101" s="76" t="s">
        <v>26</v>
      </c>
      <c r="I101" s="76" t="s">
        <v>26</v>
      </c>
      <c r="J101" s="76" t="s">
        <v>26</v>
      </c>
      <c r="K101" s="76" t="s">
        <v>26</v>
      </c>
      <c r="L101" s="76" t="s">
        <v>26</v>
      </c>
      <c r="M101" s="76" t="s">
        <v>26</v>
      </c>
      <c r="N101" s="76" t="s">
        <v>26</v>
      </c>
      <c r="O101" s="76" t="s">
        <v>26</v>
      </c>
      <c r="P101" s="76" t="s">
        <v>26</v>
      </c>
      <c r="Q101" s="76" t="s">
        <v>26</v>
      </c>
      <c r="R101" s="76" t="s">
        <v>26</v>
      </c>
      <c r="S101" s="76" t="s">
        <v>26</v>
      </c>
      <c r="T101" s="76" t="s">
        <v>26</v>
      </c>
      <c r="U101" s="76" t="s">
        <v>26</v>
      </c>
      <c r="V101" s="76" t="s">
        <v>26</v>
      </c>
      <c r="W101" s="76" t="s">
        <v>26</v>
      </c>
      <c r="X101" s="76" t="s">
        <v>26</v>
      </c>
      <c r="Y101" s="76" t="s">
        <v>26</v>
      </c>
      <c r="Z101" s="76" t="s">
        <v>26</v>
      </c>
      <c r="AA101" s="76" t="s">
        <v>26</v>
      </c>
      <c r="AB101" s="82">
        <f>SUM(AB89:AB100)</f>
        <v>0</v>
      </c>
      <c r="AC101" s="82">
        <f>SUM(AC89:AC100)</f>
        <v>0</v>
      </c>
      <c r="AD101" s="82">
        <f>SUM(AD89:AD100)</f>
        <v>0</v>
      </c>
      <c r="AE101" s="82">
        <f>SUM(AE89:AE100)</f>
        <v>0</v>
      </c>
      <c r="AF101" s="82">
        <f>SUM(AF89:AF100)</f>
        <v>0</v>
      </c>
    </row>
    <row r="104" spans="1:54" x14ac:dyDescent="0.2">
      <c r="A104" s="74" t="s">
        <v>321</v>
      </c>
    </row>
    <row r="105" spans="1:54" ht="16" x14ac:dyDescent="0.2">
      <c r="A105" s="213" t="s">
        <v>230</v>
      </c>
      <c r="B105" s="213"/>
      <c r="C105" s="211" t="s">
        <v>322</v>
      </c>
      <c r="D105" s="211"/>
      <c r="E105" s="211"/>
      <c r="F105" s="211"/>
      <c r="G105" s="211"/>
      <c r="H105" s="211"/>
      <c r="I105" s="211"/>
      <c r="J105" s="211"/>
      <c r="K105" s="211"/>
      <c r="L105" s="211"/>
      <c r="M105" s="211"/>
      <c r="N105" s="211"/>
      <c r="O105" s="212" t="s">
        <v>323</v>
      </c>
      <c r="P105" s="212"/>
      <c r="Q105" s="212"/>
      <c r="R105" s="212"/>
      <c r="S105" s="212"/>
      <c r="T105" s="212"/>
      <c r="U105" s="212"/>
      <c r="V105" s="212"/>
      <c r="W105" s="212"/>
      <c r="X105" s="212"/>
      <c r="Y105" s="212"/>
      <c r="Z105" s="211" t="s">
        <v>32</v>
      </c>
      <c r="AA105" s="211"/>
      <c r="AB105" s="211"/>
      <c r="AC105" s="211"/>
      <c r="AD105" s="211"/>
      <c r="AE105" s="211"/>
      <c r="AF105" s="211"/>
      <c r="AG105" s="211"/>
      <c r="AH105" s="211"/>
      <c r="AI105" s="211"/>
      <c r="AJ105" s="211"/>
      <c r="AK105" s="211"/>
      <c r="AL105" s="212" t="s">
        <v>324</v>
      </c>
      <c r="AM105" s="212"/>
      <c r="AN105" s="212"/>
      <c r="AO105" s="212"/>
      <c r="AP105" s="212"/>
      <c r="AQ105" s="212"/>
      <c r="AR105" s="212"/>
      <c r="AS105" s="212"/>
      <c r="AT105" s="212"/>
      <c r="AU105" s="212"/>
      <c r="AV105" s="212"/>
      <c r="AW105" s="212"/>
      <c r="AX105" s="49" t="s">
        <v>325</v>
      </c>
      <c r="AY105" s="49" t="s">
        <v>326</v>
      </c>
      <c r="AZ105" s="49" t="s">
        <v>327</v>
      </c>
      <c r="BA105" s="21" t="s">
        <v>133</v>
      </c>
      <c r="BB105" s="21" t="s">
        <v>234</v>
      </c>
    </row>
    <row r="106" spans="1:54" ht="56.5" x14ac:dyDescent="0.2">
      <c r="A106" s="213" t="s">
        <v>235</v>
      </c>
      <c r="B106" s="213"/>
      <c r="C106" s="211" t="s">
        <v>328</v>
      </c>
      <c r="D106" s="211"/>
      <c r="E106" s="211"/>
      <c r="F106" s="211"/>
      <c r="G106" s="211"/>
      <c r="H106" s="211"/>
      <c r="I106" s="211"/>
      <c r="J106" s="211"/>
      <c r="K106" s="211"/>
      <c r="L106" s="211"/>
      <c r="M106" s="211"/>
      <c r="N106" s="211"/>
      <c r="O106" s="212" t="s">
        <v>329</v>
      </c>
      <c r="P106" s="212"/>
      <c r="Q106" s="212"/>
      <c r="R106" s="212"/>
      <c r="S106" s="212"/>
      <c r="T106" s="212"/>
      <c r="U106" s="212"/>
      <c r="V106" s="212"/>
      <c r="W106" s="212"/>
      <c r="X106" s="212"/>
      <c r="Y106" s="212"/>
      <c r="Z106" s="211" t="s">
        <v>330</v>
      </c>
      <c r="AA106" s="211"/>
      <c r="AB106" s="211"/>
      <c r="AC106" s="211"/>
      <c r="AD106" s="211"/>
      <c r="AE106" s="211"/>
      <c r="AF106" s="211"/>
      <c r="AG106" s="211"/>
      <c r="AH106" s="211"/>
      <c r="AI106" s="211"/>
      <c r="AJ106" s="211"/>
      <c r="AK106" s="211"/>
      <c r="AL106" s="212" t="s">
        <v>331</v>
      </c>
      <c r="AM106" s="212"/>
      <c r="AN106" s="212"/>
      <c r="AO106" s="212"/>
      <c r="AP106" s="212"/>
      <c r="AQ106" s="212"/>
      <c r="AR106" s="212"/>
      <c r="AS106" s="212"/>
      <c r="AT106" s="212"/>
      <c r="AU106" s="212"/>
      <c r="AV106" s="212"/>
      <c r="AW106" s="212"/>
      <c r="AX106" s="51" t="s">
        <v>332</v>
      </c>
      <c r="AY106" s="51" t="s">
        <v>333</v>
      </c>
      <c r="AZ106" s="51" t="s">
        <v>334</v>
      </c>
      <c r="BA106" s="174" t="s">
        <v>239</v>
      </c>
      <c r="BB106" s="174" t="s">
        <v>240</v>
      </c>
    </row>
    <row r="107" spans="1:54" ht="16" x14ac:dyDescent="0.2">
      <c r="A107" s="213" t="s">
        <v>241</v>
      </c>
      <c r="B107" s="213"/>
      <c r="C107" s="211" t="s">
        <v>27</v>
      </c>
      <c r="D107" s="211"/>
      <c r="E107" s="211"/>
      <c r="F107" s="211"/>
      <c r="G107" s="211"/>
      <c r="H107" s="211"/>
      <c r="I107" s="211"/>
      <c r="J107" s="211"/>
      <c r="K107" s="211"/>
      <c r="L107" s="211"/>
      <c r="M107" s="211"/>
      <c r="N107" s="211"/>
      <c r="O107" s="212" t="s">
        <v>242</v>
      </c>
      <c r="P107" s="212"/>
      <c r="Q107" s="212"/>
      <c r="R107" s="212"/>
      <c r="S107" s="212"/>
      <c r="T107" s="212"/>
      <c r="U107" s="212"/>
      <c r="V107" s="212"/>
      <c r="W107" s="212"/>
      <c r="X107" s="212"/>
      <c r="Y107" s="212"/>
      <c r="Z107" s="211" t="s">
        <v>27</v>
      </c>
      <c r="AA107" s="211"/>
      <c r="AB107" s="211"/>
      <c r="AC107" s="211"/>
      <c r="AD107" s="211"/>
      <c r="AE107" s="211"/>
      <c r="AF107" s="211"/>
      <c r="AG107" s="211"/>
      <c r="AH107" s="211"/>
      <c r="AI107" s="211"/>
      <c r="AJ107" s="211"/>
      <c r="AK107" s="211"/>
      <c r="AL107" s="212" t="s">
        <v>242</v>
      </c>
      <c r="AM107" s="212"/>
      <c r="AN107" s="212"/>
      <c r="AO107" s="212"/>
      <c r="AP107" s="212"/>
      <c r="AQ107" s="212"/>
      <c r="AR107" s="212"/>
      <c r="AS107" s="212"/>
      <c r="AT107" s="212"/>
      <c r="AU107" s="212"/>
      <c r="AV107" s="212"/>
      <c r="AW107" s="212"/>
      <c r="AX107" s="49" t="s">
        <v>282</v>
      </c>
      <c r="AY107" s="49" t="s">
        <v>282</v>
      </c>
      <c r="AZ107" s="49" t="s">
        <v>282</v>
      </c>
      <c r="BA107" s="174" t="s">
        <v>244</v>
      </c>
      <c r="BB107" s="174" t="s">
        <v>244</v>
      </c>
    </row>
    <row r="108" spans="1:54" ht="42" x14ac:dyDescent="0.2">
      <c r="A108" s="213" t="s">
        <v>245</v>
      </c>
      <c r="B108" s="213"/>
      <c r="C108" s="50" t="s">
        <v>246</v>
      </c>
      <c r="D108" s="50" t="s">
        <v>247</v>
      </c>
      <c r="E108" s="50" t="s">
        <v>248</v>
      </c>
      <c r="F108" s="50" t="s">
        <v>249</v>
      </c>
      <c r="G108" s="50" t="s">
        <v>250</v>
      </c>
      <c r="H108" s="50" t="s">
        <v>251</v>
      </c>
      <c r="I108" s="50" t="s">
        <v>252</v>
      </c>
      <c r="J108" s="50" t="s">
        <v>253</v>
      </c>
      <c r="K108" s="50" t="s">
        <v>254</v>
      </c>
      <c r="L108" s="50" t="s">
        <v>255</v>
      </c>
      <c r="M108" s="50" t="s">
        <v>256</v>
      </c>
      <c r="N108" s="50" t="s">
        <v>257</v>
      </c>
      <c r="O108" s="75" t="str">
        <f>C108</f>
        <v>Evergreen forest</v>
      </c>
      <c r="P108" s="75" t="str">
        <f t="shared" ref="P108:Y108" si="19">D108</f>
        <v>Semi-evergreen forest</v>
      </c>
      <c r="Q108" s="75" t="str">
        <f t="shared" si="19"/>
        <v>Pine forest</v>
      </c>
      <c r="R108" s="75" t="str">
        <f t="shared" si="19"/>
        <v>Deciduous forest</v>
      </c>
      <c r="S108" s="75" t="str">
        <f t="shared" si="19"/>
        <v>Bamboo</v>
      </c>
      <c r="T108" s="75" t="str">
        <f t="shared" si="19"/>
        <v>Mangrove</v>
      </c>
      <c r="U108" s="75" t="str">
        <f t="shared" si="19"/>
        <v>Rear Mangrove</v>
      </c>
      <c r="V108" s="75" t="str">
        <f t="shared" si="19"/>
        <v xml:space="preserve">Flooded forest </v>
      </c>
      <c r="W108" s="75" t="str">
        <f t="shared" si="19"/>
        <v xml:space="preserve">Forest regrowth </v>
      </c>
      <c r="X108" s="75" t="str">
        <f t="shared" si="19"/>
        <v>Tree plantation</v>
      </c>
      <c r="Y108" s="75" t="str">
        <f t="shared" si="19"/>
        <v>Pine plantation</v>
      </c>
      <c r="Z108" s="50" t="str">
        <f>C108</f>
        <v>Evergreen forest</v>
      </c>
      <c r="AA108" s="50" t="str">
        <f t="shared" ref="AA108:AK108" si="20">D108</f>
        <v>Semi-evergreen forest</v>
      </c>
      <c r="AB108" s="50" t="str">
        <f t="shared" si="20"/>
        <v>Pine forest</v>
      </c>
      <c r="AC108" s="50" t="str">
        <f t="shared" si="20"/>
        <v>Deciduous forest</v>
      </c>
      <c r="AD108" s="50" t="str">
        <f t="shared" si="20"/>
        <v>Bamboo</v>
      </c>
      <c r="AE108" s="50" t="str">
        <f t="shared" si="20"/>
        <v>Mangrove</v>
      </c>
      <c r="AF108" s="50" t="str">
        <f t="shared" si="20"/>
        <v>Rear Mangrove</v>
      </c>
      <c r="AG108" s="50" t="str">
        <f t="shared" si="20"/>
        <v xml:space="preserve">Flooded forest </v>
      </c>
      <c r="AH108" s="50" t="str">
        <f t="shared" si="20"/>
        <v xml:space="preserve">Forest regrowth </v>
      </c>
      <c r="AI108" s="50" t="str">
        <f t="shared" si="20"/>
        <v>Tree plantation</v>
      </c>
      <c r="AJ108" s="50" t="str">
        <f t="shared" si="20"/>
        <v>Pine plantation</v>
      </c>
      <c r="AK108" s="50" t="str">
        <f t="shared" si="20"/>
        <v>non forest</v>
      </c>
      <c r="AL108" s="75" t="str">
        <f>C108</f>
        <v>Evergreen forest</v>
      </c>
      <c r="AM108" s="75" t="str">
        <f t="shared" ref="AM108:AW108" si="21">D108</f>
        <v>Semi-evergreen forest</v>
      </c>
      <c r="AN108" s="75" t="str">
        <f t="shared" si="21"/>
        <v>Pine forest</v>
      </c>
      <c r="AO108" s="75" t="str">
        <f t="shared" si="21"/>
        <v>Deciduous forest</v>
      </c>
      <c r="AP108" s="75" t="str">
        <f t="shared" si="21"/>
        <v>Bamboo</v>
      </c>
      <c r="AQ108" s="75" t="str">
        <f t="shared" si="21"/>
        <v>Mangrove</v>
      </c>
      <c r="AR108" s="75" t="str">
        <f t="shared" si="21"/>
        <v>Rear Mangrove</v>
      </c>
      <c r="AS108" s="75" t="str">
        <f t="shared" si="21"/>
        <v xml:space="preserve">Flooded forest </v>
      </c>
      <c r="AT108" s="75" t="str">
        <f t="shared" si="21"/>
        <v xml:space="preserve">Forest regrowth </v>
      </c>
      <c r="AU108" s="75" t="str">
        <f t="shared" si="21"/>
        <v>Tree plantation</v>
      </c>
      <c r="AV108" s="75" t="str">
        <f t="shared" si="21"/>
        <v>Pine plantation</v>
      </c>
      <c r="AW108" s="75" t="str">
        <f t="shared" si="21"/>
        <v>non forest</v>
      </c>
      <c r="AX108" s="49" t="s">
        <v>26</v>
      </c>
      <c r="AY108" s="49" t="s">
        <v>26</v>
      </c>
      <c r="AZ108" s="49" t="s">
        <v>26</v>
      </c>
      <c r="BA108" s="49" t="s">
        <v>26</v>
      </c>
      <c r="BB108" s="49" t="s">
        <v>26</v>
      </c>
    </row>
    <row r="109" spans="1:54" ht="28" x14ac:dyDescent="0.2">
      <c r="A109" s="53" t="s">
        <v>258</v>
      </c>
      <c r="B109" s="53">
        <f>'MRS(input_RL_Opt1)'!$B7</f>
        <v>2018</v>
      </c>
      <c r="C109" s="52">
        <f>'MPS(input_PJ_Opt1)'!C109</f>
        <v>6240.5087834271699</v>
      </c>
      <c r="D109" s="52">
        <f>'MPS(input_PJ_Opt1)'!D109</f>
        <v>5160.98574059372</v>
      </c>
      <c r="E109" s="52">
        <f>'MPS(input_PJ_Opt1)'!E109</f>
        <v>0</v>
      </c>
      <c r="F109" s="52">
        <f>'MPS(input_PJ_Opt1)'!F109</f>
        <v>4396.12421340541</v>
      </c>
      <c r="G109" s="52">
        <f>'MPS(input_PJ_Opt1)'!G109</f>
        <v>184.165301382179</v>
      </c>
      <c r="H109" s="52">
        <f>'MPS(input_PJ_Opt1)'!H109</f>
        <v>0</v>
      </c>
      <c r="I109" s="52">
        <f>'MPS(input_PJ_Opt1)'!I109</f>
        <v>0</v>
      </c>
      <c r="J109" s="52">
        <f>'MPS(input_PJ_Opt1)'!J109</f>
        <v>0</v>
      </c>
      <c r="K109" s="52">
        <f>'MPS(input_PJ_Opt1)'!K109</f>
        <v>620.90549311067696</v>
      </c>
      <c r="L109" s="52">
        <f>'MPS(input_PJ_Opt1)'!L109</f>
        <v>0</v>
      </c>
      <c r="M109" s="52">
        <f>'MPS(input_PJ_Opt1)'!M109</f>
        <v>0</v>
      </c>
      <c r="N109" s="52">
        <f>'MPS(input_PJ_Opt1)'!N109</f>
        <v>0</v>
      </c>
      <c r="O109" s="94" t="s">
        <v>26</v>
      </c>
      <c r="P109" s="94" t="s">
        <v>26</v>
      </c>
      <c r="Q109" s="94" t="s">
        <v>26</v>
      </c>
      <c r="R109" s="94" t="s">
        <v>26</v>
      </c>
      <c r="S109" s="94" t="s">
        <v>26</v>
      </c>
      <c r="T109" s="94" t="s">
        <v>26</v>
      </c>
      <c r="U109" s="94" t="s">
        <v>26</v>
      </c>
      <c r="V109" s="94" t="s">
        <v>26</v>
      </c>
      <c r="W109" s="94" t="s">
        <v>26</v>
      </c>
      <c r="X109" s="94" t="s">
        <v>26</v>
      </c>
      <c r="Y109" s="94" t="s">
        <v>26</v>
      </c>
      <c r="Z109" s="94" t="s">
        <v>26</v>
      </c>
      <c r="AA109" s="94" t="s">
        <v>26</v>
      </c>
      <c r="AB109" s="94" t="s">
        <v>26</v>
      </c>
      <c r="AC109" s="94" t="s">
        <v>26</v>
      </c>
      <c r="AD109" s="94" t="s">
        <v>26</v>
      </c>
      <c r="AE109" s="94" t="s">
        <v>26</v>
      </c>
      <c r="AF109" s="94" t="s">
        <v>26</v>
      </c>
      <c r="AG109" s="94" t="s">
        <v>26</v>
      </c>
      <c r="AH109" s="94" t="s">
        <v>26</v>
      </c>
      <c r="AI109" s="94" t="s">
        <v>26</v>
      </c>
      <c r="AJ109" s="94" t="s">
        <v>26</v>
      </c>
      <c r="AK109" s="94" t="s">
        <v>26</v>
      </c>
      <c r="AL109" s="94" t="s">
        <v>26</v>
      </c>
      <c r="AM109" s="94" t="s">
        <v>26</v>
      </c>
      <c r="AN109" s="94" t="s">
        <v>26</v>
      </c>
      <c r="AO109" s="94" t="s">
        <v>26</v>
      </c>
      <c r="AP109" s="94" t="s">
        <v>26</v>
      </c>
      <c r="AQ109" s="94" t="s">
        <v>26</v>
      </c>
      <c r="AR109" s="94" t="s">
        <v>26</v>
      </c>
      <c r="AS109" s="94" t="s">
        <v>26</v>
      </c>
      <c r="AT109" s="94" t="s">
        <v>26</v>
      </c>
      <c r="AU109" s="94" t="s">
        <v>26</v>
      </c>
      <c r="AV109" s="94" t="s">
        <v>26</v>
      </c>
      <c r="AW109" s="94" t="s">
        <v>26</v>
      </c>
      <c r="AX109" s="94" t="s">
        <v>26</v>
      </c>
      <c r="AY109" s="94" t="s">
        <v>26</v>
      </c>
      <c r="AZ109" s="94" t="s">
        <v>26</v>
      </c>
      <c r="BA109" s="180" t="str">
        <f>'MRS(input_RL_Opt1)'!AB7</f>
        <v>-</v>
      </c>
      <c r="BB109" s="180" t="str">
        <f>'MRS(input_RL_Opt1)'!AC7</f>
        <v>-</v>
      </c>
    </row>
    <row r="110" spans="1:54" x14ac:dyDescent="0.2">
      <c r="A110" s="214" t="s">
        <v>221</v>
      </c>
      <c r="B110" s="53">
        <f>'MRS(input_RL_Opt1)'!$B8</f>
        <v>2018</v>
      </c>
      <c r="C110" s="52">
        <f>IFERROR(C109*(1-'MRS(input_Option1)'!$F$48*$BA110/$BB110),0)</f>
        <v>0</v>
      </c>
      <c r="D110" s="52">
        <f>IFERROR(D109*(1-'MRS(input_Option1)'!$F$49*$BA110/$BB110),0)</f>
        <v>0</v>
      </c>
      <c r="E110" s="52">
        <f>IFERROR(E109*(1-'MRS(input_Option1)'!$F$50*$BA110/$BB110),0)</f>
        <v>0</v>
      </c>
      <c r="F110" s="52">
        <f>IFERROR(F109*(1-'MRS(input_Option1)'!$F$51*$BA110/$BB110),0)</f>
        <v>0</v>
      </c>
      <c r="G110" s="52">
        <f>IFERROR(G109*(1-'MRS(input_Option1)'!$F$52*$BA110/$BB110),0)</f>
        <v>0</v>
      </c>
      <c r="H110" s="52">
        <f>IFERROR(H109*(1-'MRS(input_Option1)'!$F$53*$BA110/$BB110),0)</f>
        <v>0</v>
      </c>
      <c r="I110" s="52">
        <f>IFERROR(I109*(1-'MRS(input_Option1)'!$F$54*$BA110/$BB110),0)</f>
        <v>0</v>
      </c>
      <c r="J110" s="52">
        <f>IFERROR(J109*(1-'MRS(input_Option1)'!$F$55*$BA110/$BB110),0)</f>
        <v>0</v>
      </c>
      <c r="K110" s="52">
        <f>IFERROR(K109*(1-'MRS(input_Option1)'!$F$56*$BA110/$BB110),0)</f>
        <v>0</v>
      </c>
      <c r="L110" s="52">
        <f>IFERROR(L109*(1-'MRS(input_Option1)'!$F$57*$BA110/$BB110),0)</f>
        <v>0</v>
      </c>
      <c r="M110" s="52">
        <f>IFERROR(M109*(1-'MRS(input_Option1)'!$F$58*$BA110/$BB110),0)</f>
        <v>0</v>
      </c>
      <c r="N110" s="52">
        <f t="shared" ref="N110:N121" si="22">SUM(C$109:N$109)-SUM(C110:M110)</f>
        <v>16602.689531919157</v>
      </c>
      <c r="O110" s="52">
        <f>IFERROR(C109*'MRS(input_Option1)'!$F$48*$BA110/$BB110*'MRS(input_Option1)'!$F$59,0)</f>
        <v>0</v>
      </c>
      <c r="P110" s="52">
        <f>IFERROR(D109*'MRS(input_Option1)'!$F$49*$BA110/$BB110*'MRS(input_Option1)'!$F$60,0)</f>
        <v>0</v>
      </c>
      <c r="Q110" s="52">
        <f>IFERROR(E109*'MRS(input_Option1)'!$F$50*$BA110/$BB110*'MRS(input_Option1)'!$F$61,0)</f>
        <v>0</v>
      </c>
      <c r="R110" s="52">
        <f>IFERROR(F109*'MRS(input_Option1)'!$F$51*$BA110/$BB110*'MRS(input_Option1)'!$F$62,0)</f>
        <v>0</v>
      </c>
      <c r="S110" s="52">
        <f>IFERROR(G109*'MRS(input_Option1)'!$F$52*$BA110/$BB110*'MRS(input_Option1)'!$F$63,0)</f>
        <v>0</v>
      </c>
      <c r="T110" s="52">
        <f>IFERROR(H109*'MRS(input_Option1)'!$F$53*$BA110/$BB110*'MRS(input_Option1)'!$F$64,0)</f>
        <v>0</v>
      </c>
      <c r="U110" s="52">
        <f>IFERROR(I109*'MRS(input_Option1)'!$F$54*$BA110/$BB110*'MRS(input_Option1)'!$F$65,0)</f>
        <v>0</v>
      </c>
      <c r="V110" s="52">
        <f>IFERROR(J109*'MRS(input_Option1)'!$F$55*$BA110/$BB110*'MRS(input_Option1)'!$F$66,0)</f>
        <v>0</v>
      </c>
      <c r="W110" s="52">
        <f>IFERROR(K109*'MRS(input_Option1)'!$F$56*$BA110/$BB110*'MRS(input_Option1)'!$F$67,0)</f>
        <v>0</v>
      </c>
      <c r="X110" s="52">
        <f>IFERROR(L109*'MRS(input_Option1)'!$F$57*$BA110/$BB110*'MRS(input_Option1)'!$F$68,0)</f>
        <v>0</v>
      </c>
      <c r="Y110" s="52">
        <f>IFERROR(M109*'MRS(input_Option1)'!$F$58*$BA110/$BB110*'MRS(input_Option1)'!$F$69,0)</f>
        <v>0</v>
      </c>
      <c r="Z110" s="73"/>
      <c r="AA110" s="73"/>
      <c r="AB110" s="73"/>
      <c r="AC110" s="73"/>
      <c r="AD110" s="73"/>
      <c r="AE110" s="73"/>
      <c r="AF110" s="73"/>
      <c r="AG110" s="73"/>
      <c r="AH110" s="73"/>
      <c r="AI110" s="73"/>
      <c r="AJ110" s="73"/>
      <c r="AK110" s="73"/>
      <c r="AL110" s="52">
        <f>Z110*'MRS(input_Option1)'!$F$59</f>
        <v>0</v>
      </c>
      <c r="AM110" s="52">
        <f>AA110*'MRS(input_Option1)'!$F$60</f>
        <v>0</v>
      </c>
      <c r="AN110" s="52">
        <f>AB110*'MRS(input_Option1)'!$F$61</f>
        <v>0</v>
      </c>
      <c r="AO110" s="52">
        <f>AC110*'MRS(input_Option1)'!$F$62</f>
        <v>0</v>
      </c>
      <c r="AP110" s="52">
        <f>AD110*'MRS(input_Option1)'!$F$63</f>
        <v>0</v>
      </c>
      <c r="AQ110" s="52">
        <f>AE110*'MRS(input_Option1)'!$F$64</f>
        <v>0</v>
      </c>
      <c r="AR110" s="52">
        <f>AF110*'MRS(input_Option1)'!$F$65</f>
        <v>0</v>
      </c>
      <c r="AS110" s="52">
        <f>ROUND(AG110*'MRS(input_Option1)'!$F$66,2)</f>
        <v>0</v>
      </c>
      <c r="AT110" s="52">
        <f>AH110*'MRS(input_Option1)'!$F$67</f>
        <v>0</v>
      </c>
      <c r="AU110" s="52">
        <f>AI110*'MRS(input_Option1)'!$F$68</f>
        <v>0</v>
      </c>
      <c r="AV110" s="52">
        <f>AJ110*'MRS(input_Option1)'!$F$69</f>
        <v>0</v>
      </c>
      <c r="AW110" s="52">
        <f t="shared" ref="AW110:AW121" si="23">AK110*0</f>
        <v>0</v>
      </c>
      <c r="AX110" s="95">
        <f>SUM(O110:Y110)*(44/12)</f>
        <v>0</v>
      </c>
      <c r="AY110" s="95">
        <f>SUM(AL110:AW110)*(44/12)</f>
        <v>0</v>
      </c>
      <c r="AZ110" s="95">
        <f>_xlfn.IFS(AY110-AX110&gt;0,AY110-AX110,TRUE,0)</f>
        <v>0</v>
      </c>
      <c r="BA110" s="95">
        <f>'MRS(input_RL_Opt1)'!AB8</f>
        <v>0</v>
      </c>
      <c r="BB110" s="95">
        <f>'MRS(input_RL_Opt1)'!AC8</f>
        <v>0</v>
      </c>
    </row>
    <row r="111" spans="1:54" x14ac:dyDescent="0.2">
      <c r="A111" s="215"/>
      <c r="B111" s="53">
        <f t="shared" ref="B111:B121" si="24">B110+1</f>
        <v>2019</v>
      </c>
      <c r="C111" s="52">
        <f>C110*(1-'MRS(input_Option1)'!$F$48)</f>
        <v>0</v>
      </c>
      <c r="D111" s="52">
        <f>D110*(1-'MRS(input_Option1)'!$F$49)</f>
        <v>0</v>
      </c>
      <c r="E111" s="52">
        <f>E110*(1-'MRS(input_Option1)'!$F$50)</f>
        <v>0</v>
      </c>
      <c r="F111" s="52">
        <f>F110*(1-'MRS(input_Option1)'!$F$51)</f>
        <v>0</v>
      </c>
      <c r="G111" s="52">
        <f>G110*(1-'MRS(input_Option1)'!$F$52)</f>
        <v>0</v>
      </c>
      <c r="H111" s="52">
        <f>H110*(1-'MRS(input_Option1)'!$F$53)</f>
        <v>0</v>
      </c>
      <c r="I111" s="52">
        <f>I110*(1-'MRS(input_Option1)'!$F$54)</f>
        <v>0</v>
      </c>
      <c r="J111" s="52">
        <f>J110*(1-'MRS(input_Option1)'!$F$55)</f>
        <v>0</v>
      </c>
      <c r="K111" s="52">
        <f>K110*(1-'MRS(input_Option1)'!$F$56)</f>
        <v>0</v>
      </c>
      <c r="L111" s="52">
        <f>L110*(1-'MRS(input_Option1)'!$F$57)</f>
        <v>0</v>
      </c>
      <c r="M111" s="52">
        <f>M110*(1-'MRS(input_Option1)'!$F$58)</f>
        <v>0</v>
      </c>
      <c r="N111" s="52">
        <f t="shared" si="22"/>
        <v>16602.689531919157</v>
      </c>
      <c r="O111" s="52">
        <f>IFERROR(C110*'MRS(input_Option1)'!$F$48*$BA111/$BB111*'MRS(input_Option1)'!$F$59,0)</f>
        <v>0</v>
      </c>
      <c r="P111" s="52">
        <f>IFERROR(D110*'MRS(input_Option1)'!$F$49*$BA111/$BB111*'MRS(input_Option1)'!$F$60,0)</f>
        <v>0</v>
      </c>
      <c r="Q111" s="52">
        <f>IFERROR(E110*'MRS(input_Option1)'!$F$50*$BA111/$BB111*'MRS(input_Option1)'!$F$61,0)</f>
        <v>0</v>
      </c>
      <c r="R111" s="52">
        <f>IFERROR(F110*'MRS(input_Option1)'!$F$51*$BA111/$BB111*'MRS(input_Option1)'!$F$62,0)</f>
        <v>0</v>
      </c>
      <c r="S111" s="52">
        <f>IFERROR(G110*'MRS(input_Option1)'!$F$52*$BA111/$BB111*'MRS(input_Option1)'!$F$63,0)</f>
        <v>0</v>
      </c>
      <c r="T111" s="52">
        <f>IFERROR(H110*'MRS(input_Option1)'!$F$53*$BA111/$BB111*'MRS(input_Option1)'!$F$64,0)</f>
        <v>0</v>
      </c>
      <c r="U111" s="52">
        <f>IFERROR(I110*'MRS(input_Option1)'!$F$54*$BA111/$BB111*'MRS(input_Option1)'!$F$65,0)</f>
        <v>0</v>
      </c>
      <c r="V111" s="52">
        <f>IFERROR(J110*'MRS(input_Option1)'!$F$55*$BA111/$BB111*'MRS(input_Option1)'!$F$66,0)</f>
        <v>0</v>
      </c>
      <c r="W111" s="52">
        <f>IFERROR(K110*'MRS(input_Option1)'!$F$56*$BA111/$BB111*'MRS(input_Option1)'!$F$67,0)</f>
        <v>0</v>
      </c>
      <c r="X111" s="52">
        <f>IFERROR(L110*'MRS(input_Option1)'!$F$57*$BA111/$BB111*'MRS(input_Option1)'!$F$68,0)</f>
        <v>0</v>
      </c>
      <c r="Y111" s="52">
        <f>IFERROR(M110*'MRS(input_Option1)'!$F$58*$BA111/$BB111*'MRS(input_Option1)'!$F$69,0)</f>
        <v>0</v>
      </c>
      <c r="Z111" s="73"/>
      <c r="AA111" s="73"/>
      <c r="AB111" s="73"/>
      <c r="AC111" s="73"/>
      <c r="AD111" s="73"/>
      <c r="AE111" s="73"/>
      <c r="AF111" s="73"/>
      <c r="AG111" s="73"/>
      <c r="AH111" s="73"/>
      <c r="AI111" s="73"/>
      <c r="AJ111" s="73"/>
      <c r="AK111" s="73"/>
      <c r="AL111" s="52">
        <f>Z111*'MRS(input_Option1)'!$F$59</f>
        <v>0</v>
      </c>
      <c r="AM111" s="52">
        <f>AA111*'MRS(input_Option1)'!$F$60</f>
        <v>0</v>
      </c>
      <c r="AN111" s="52">
        <f>AB111*'MRS(input_Option1)'!$F$61</f>
        <v>0</v>
      </c>
      <c r="AO111" s="52">
        <f>AC111*'MRS(input_Option1)'!$F$62</f>
        <v>0</v>
      </c>
      <c r="AP111" s="52">
        <f>AD111*'MRS(input_Option1)'!$F$63</f>
        <v>0</v>
      </c>
      <c r="AQ111" s="52">
        <f>AE111*'MRS(input_Option1)'!$F$64</f>
        <v>0</v>
      </c>
      <c r="AR111" s="52">
        <f>AF111*'MRS(input_Option1)'!$F$65</f>
        <v>0</v>
      </c>
      <c r="AS111" s="52">
        <f>ROUND(AG111*'MRS(input_Option1)'!$F$66,2)</f>
        <v>0</v>
      </c>
      <c r="AT111" s="52">
        <f>AH111*'MRS(input_Option1)'!$F$67</f>
        <v>0</v>
      </c>
      <c r="AU111" s="52">
        <f>AI111*'MRS(input_Option1)'!$F$68</f>
        <v>0</v>
      </c>
      <c r="AV111" s="52">
        <f>AJ111*'MRS(input_Option1)'!$F$69</f>
        <v>0</v>
      </c>
      <c r="AW111" s="52">
        <f t="shared" si="23"/>
        <v>0</v>
      </c>
      <c r="AX111" s="95">
        <f t="shared" ref="AX111:AX121" si="25">SUM(O111:Y111)*(44/12)</f>
        <v>0</v>
      </c>
      <c r="AY111" s="95">
        <f t="shared" ref="AY111:AY121" si="26">SUM(AL111:AW111)*(44/12)</f>
        <v>0</v>
      </c>
      <c r="AZ111" s="95">
        <f t="shared" ref="AZ111:AZ121" si="27">_xlfn.IFS(AY111-AX111&gt;0,AY111-AX111,TRUE,0)</f>
        <v>0</v>
      </c>
      <c r="BA111" s="95">
        <f>'MRS(input_RL_Opt1)'!AB9</f>
        <v>0</v>
      </c>
      <c r="BB111" s="95">
        <f>'MRS(input_RL_Opt1)'!AC9</f>
        <v>0</v>
      </c>
    </row>
    <row r="112" spans="1:54" x14ac:dyDescent="0.2">
      <c r="A112" s="215"/>
      <c r="B112" s="53">
        <f t="shared" si="24"/>
        <v>2020</v>
      </c>
      <c r="C112" s="52">
        <f>C111*(1-'MRS(input_Option1)'!$F$48)</f>
        <v>0</v>
      </c>
      <c r="D112" s="52">
        <f>D111*(1-'MRS(input_Option1)'!$F$49)</f>
        <v>0</v>
      </c>
      <c r="E112" s="52">
        <f>E111*(1-'MRS(input_Option1)'!$F$50)</f>
        <v>0</v>
      </c>
      <c r="F112" s="52">
        <f>F111*(1-'MRS(input_Option1)'!$F$51)</f>
        <v>0</v>
      </c>
      <c r="G112" s="52">
        <f>G111*(1-'MRS(input_Option1)'!$F$52)</f>
        <v>0</v>
      </c>
      <c r="H112" s="52">
        <f>H111*(1-'MRS(input_Option1)'!$F$53)</f>
        <v>0</v>
      </c>
      <c r="I112" s="52">
        <f>I111*(1-'MRS(input_Option1)'!$F$54)</f>
        <v>0</v>
      </c>
      <c r="J112" s="52">
        <f>J111*(1-'MRS(input_Option1)'!$F$55)</f>
        <v>0</v>
      </c>
      <c r="K112" s="52">
        <f>K111*(1-'MRS(input_Option1)'!$F$56)</f>
        <v>0</v>
      </c>
      <c r="L112" s="52">
        <f>L111*(1-'MRS(input_Option1)'!$F$57)</f>
        <v>0</v>
      </c>
      <c r="M112" s="52">
        <f>M111*(1-'MRS(input_Option1)'!$F$58)</f>
        <v>0</v>
      </c>
      <c r="N112" s="52">
        <f t="shared" si="22"/>
        <v>16602.689531919157</v>
      </c>
      <c r="O112" s="52">
        <f>IFERROR(C111*'MRS(input_Option1)'!$F$48*$BA112/$BB112*'MRS(input_Option1)'!$F$59,0)</f>
        <v>0</v>
      </c>
      <c r="P112" s="52">
        <f>IFERROR(D111*'MRS(input_Option1)'!$F$49*$BA112/$BB112*'MRS(input_Option1)'!$F$60,0)</f>
        <v>0</v>
      </c>
      <c r="Q112" s="52">
        <f>IFERROR(E111*'MRS(input_Option1)'!$F$50*$BA112/$BB112*'MRS(input_Option1)'!$F$61,0)</f>
        <v>0</v>
      </c>
      <c r="R112" s="52">
        <f>IFERROR(F111*'MRS(input_Option1)'!$F$51*$BA112/$BB112*'MRS(input_Option1)'!$F$62,0)</f>
        <v>0</v>
      </c>
      <c r="S112" s="52">
        <f>IFERROR(G111*'MRS(input_Option1)'!$F$52*$BA112/$BB112*'MRS(input_Option1)'!$F$63,0)</f>
        <v>0</v>
      </c>
      <c r="T112" s="52">
        <f>IFERROR(H111*'MRS(input_Option1)'!$F$53*$BA112/$BB112*'MRS(input_Option1)'!$F$64,0)</f>
        <v>0</v>
      </c>
      <c r="U112" s="52">
        <f>IFERROR(I111*'MRS(input_Option1)'!$F$54*$BA112/$BB112*'MRS(input_Option1)'!$F$65,0)</f>
        <v>0</v>
      </c>
      <c r="V112" s="52">
        <f>IFERROR(J111*'MRS(input_Option1)'!$F$55*$BA112/$BB112*'MRS(input_Option1)'!$F$66,0)</f>
        <v>0</v>
      </c>
      <c r="W112" s="52">
        <f>IFERROR(K111*'MRS(input_Option1)'!$F$56*$BA112/$BB112*'MRS(input_Option1)'!$F$67,0)</f>
        <v>0</v>
      </c>
      <c r="X112" s="52">
        <f>IFERROR(L111*'MRS(input_Option1)'!$F$57*$BA112/$BB112*'MRS(input_Option1)'!$F$68,0)</f>
        <v>0</v>
      </c>
      <c r="Y112" s="52">
        <f>IFERROR(M111*'MRS(input_Option1)'!$F$58*$BA112/$BB112*'MRS(input_Option1)'!$F$69,0)</f>
        <v>0</v>
      </c>
      <c r="Z112" s="73"/>
      <c r="AA112" s="73"/>
      <c r="AB112" s="73"/>
      <c r="AC112" s="73"/>
      <c r="AD112" s="73"/>
      <c r="AE112" s="73"/>
      <c r="AF112" s="73"/>
      <c r="AG112" s="73"/>
      <c r="AH112" s="73"/>
      <c r="AI112" s="73"/>
      <c r="AJ112" s="73"/>
      <c r="AK112" s="73"/>
      <c r="AL112" s="52">
        <f>Z112*'MRS(input_Option1)'!$F$59</f>
        <v>0</v>
      </c>
      <c r="AM112" s="52">
        <f>AA112*'MRS(input_Option1)'!$F$60</f>
        <v>0</v>
      </c>
      <c r="AN112" s="52">
        <f>AB112*'MRS(input_Option1)'!$F$61</f>
        <v>0</v>
      </c>
      <c r="AO112" s="52">
        <f>AC112*'MRS(input_Option1)'!$F$62</f>
        <v>0</v>
      </c>
      <c r="AP112" s="52">
        <f>AD112*'MRS(input_Option1)'!$F$63</f>
        <v>0</v>
      </c>
      <c r="AQ112" s="52">
        <f>AE112*'MRS(input_Option1)'!$F$64</f>
        <v>0</v>
      </c>
      <c r="AR112" s="52">
        <f>AF112*'MRS(input_Option1)'!$F$65</f>
        <v>0</v>
      </c>
      <c r="AS112" s="52">
        <f>ROUND(AG112*'MRS(input_Option1)'!$F$66,2)</f>
        <v>0</v>
      </c>
      <c r="AT112" s="52">
        <f>AH112*'MRS(input_Option1)'!$F$67</f>
        <v>0</v>
      </c>
      <c r="AU112" s="52">
        <f>AI112*'MRS(input_Option1)'!$F$68</f>
        <v>0</v>
      </c>
      <c r="AV112" s="52">
        <f>AJ112*'MRS(input_Option1)'!$F$69</f>
        <v>0</v>
      </c>
      <c r="AW112" s="52">
        <f t="shared" si="23"/>
        <v>0</v>
      </c>
      <c r="AX112" s="95">
        <f t="shared" si="25"/>
        <v>0</v>
      </c>
      <c r="AY112" s="95">
        <f t="shared" si="26"/>
        <v>0</v>
      </c>
      <c r="AZ112" s="95">
        <f t="shared" si="27"/>
        <v>0</v>
      </c>
      <c r="BA112" s="95">
        <f>'MRS(input_RL_Opt1)'!AB10</f>
        <v>0</v>
      </c>
      <c r="BB112" s="95">
        <f>'MRS(input_RL_Opt1)'!AC10</f>
        <v>0</v>
      </c>
    </row>
    <row r="113" spans="1:54" x14ac:dyDescent="0.2">
      <c r="A113" s="215"/>
      <c r="B113" s="53">
        <f t="shared" si="24"/>
        <v>2021</v>
      </c>
      <c r="C113" s="52">
        <f>C112*(1-'MRS(input_Option1)'!$F$48)</f>
        <v>0</v>
      </c>
      <c r="D113" s="52">
        <f>D112*(1-'MRS(input_Option1)'!$F$49)</f>
        <v>0</v>
      </c>
      <c r="E113" s="52">
        <f>E112*(1-'MRS(input_Option1)'!$F$50)</f>
        <v>0</v>
      </c>
      <c r="F113" s="52">
        <f>F112*(1-'MRS(input_Option1)'!$F$51)</f>
        <v>0</v>
      </c>
      <c r="G113" s="52">
        <f>G112*(1-'MRS(input_Option1)'!$F$52)</f>
        <v>0</v>
      </c>
      <c r="H113" s="52">
        <f>H112*(1-'MRS(input_Option1)'!$F$53)</f>
        <v>0</v>
      </c>
      <c r="I113" s="52">
        <f>I112*(1-'MRS(input_Option1)'!$F$54)</f>
        <v>0</v>
      </c>
      <c r="J113" s="52">
        <f>J112*(1-'MRS(input_Option1)'!$F$55)</f>
        <v>0</v>
      </c>
      <c r="K113" s="52">
        <f>K112*(1-'MRS(input_Option1)'!$F$56)</f>
        <v>0</v>
      </c>
      <c r="L113" s="52">
        <f>L112*(1-'MRS(input_Option1)'!$F$57)</f>
        <v>0</v>
      </c>
      <c r="M113" s="52">
        <f>M112*(1-'MRS(input_Option1)'!$F$58)</f>
        <v>0</v>
      </c>
      <c r="N113" s="52">
        <f t="shared" si="22"/>
        <v>16602.689531919157</v>
      </c>
      <c r="O113" s="52">
        <f>IFERROR(C112*'MRS(input_Option1)'!$F$48*$BA113/$BB113*'MRS(input_Option1)'!$F$59,0)</f>
        <v>0</v>
      </c>
      <c r="P113" s="52">
        <f>IFERROR(D112*'MRS(input_Option1)'!$F$49*$BA113/$BB113*'MRS(input_Option1)'!$F$60,0)</f>
        <v>0</v>
      </c>
      <c r="Q113" s="52">
        <f>IFERROR(E112*'MRS(input_Option1)'!$F$50*$BA113/$BB113*'MRS(input_Option1)'!$F$61,0)</f>
        <v>0</v>
      </c>
      <c r="R113" s="52">
        <f>IFERROR(F112*'MRS(input_Option1)'!$F$51*$BA113/$BB113*'MRS(input_Option1)'!$F$62,0)</f>
        <v>0</v>
      </c>
      <c r="S113" s="52">
        <f>IFERROR(G112*'MRS(input_Option1)'!$F$52*$BA113/$BB113*'MRS(input_Option1)'!$F$63,0)</f>
        <v>0</v>
      </c>
      <c r="T113" s="52">
        <f>IFERROR(H112*'MRS(input_Option1)'!$F$53*$BA113/$BB113*'MRS(input_Option1)'!$F$64,0)</f>
        <v>0</v>
      </c>
      <c r="U113" s="52">
        <f>IFERROR(I112*'MRS(input_Option1)'!$F$54*$BA113/$BB113*'MRS(input_Option1)'!$F$65,0)</f>
        <v>0</v>
      </c>
      <c r="V113" s="52">
        <f>IFERROR(J112*'MRS(input_Option1)'!$F$55*$BA113/$BB113*'MRS(input_Option1)'!$F$66,0)</f>
        <v>0</v>
      </c>
      <c r="W113" s="52">
        <f>IFERROR(K112*'MRS(input_Option1)'!$F$56*$BA113/$BB113*'MRS(input_Option1)'!$F$67,0)</f>
        <v>0</v>
      </c>
      <c r="X113" s="52">
        <f>IFERROR(L112*'MRS(input_Option1)'!$F$57*$BA113/$BB113*'MRS(input_Option1)'!$F$68,0)</f>
        <v>0</v>
      </c>
      <c r="Y113" s="52">
        <f>IFERROR(M112*'MRS(input_Option1)'!$F$58*$BA113/$BB113*'MRS(input_Option1)'!$F$69,0)</f>
        <v>0</v>
      </c>
      <c r="Z113" s="73"/>
      <c r="AA113" s="73"/>
      <c r="AB113" s="73"/>
      <c r="AC113" s="73"/>
      <c r="AD113" s="73"/>
      <c r="AE113" s="73"/>
      <c r="AF113" s="73"/>
      <c r="AG113" s="73"/>
      <c r="AH113" s="73"/>
      <c r="AI113" s="73"/>
      <c r="AJ113" s="73"/>
      <c r="AK113" s="73"/>
      <c r="AL113" s="52">
        <f>Z113*'MRS(input_Option1)'!$F$59</f>
        <v>0</v>
      </c>
      <c r="AM113" s="52">
        <f>AA113*'MRS(input_Option1)'!$F$60</f>
        <v>0</v>
      </c>
      <c r="AN113" s="52">
        <f>AB113*'MRS(input_Option1)'!$F$61</f>
        <v>0</v>
      </c>
      <c r="AO113" s="52">
        <f>AC113*'MRS(input_Option1)'!$F$62</f>
        <v>0</v>
      </c>
      <c r="AP113" s="52">
        <f>AD113*'MRS(input_Option1)'!$F$63</f>
        <v>0</v>
      </c>
      <c r="AQ113" s="52">
        <f>AE113*'MRS(input_Option1)'!$F$64</f>
        <v>0</v>
      </c>
      <c r="AR113" s="52">
        <f>AF113*'MRS(input_Option1)'!$F$65</f>
        <v>0</v>
      </c>
      <c r="AS113" s="52">
        <f>ROUND(AG113*'MRS(input_Option1)'!$F$66,2)</f>
        <v>0</v>
      </c>
      <c r="AT113" s="52">
        <f>AH113*'MRS(input_Option1)'!$F$67</f>
        <v>0</v>
      </c>
      <c r="AU113" s="52">
        <f>AI113*'MRS(input_Option1)'!$F$68</f>
        <v>0</v>
      </c>
      <c r="AV113" s="52">
        <f>AJ113*'MRS(input_Option1)'!$F$69</f>
        <v>0</v>
      </c>
      <c r="AW113" s="52">
        <f t="shared" si="23"/>
        <v>0</v>
      </c>
      <c r="AX113" s="95">
        <f t="shared" si="25"/>
        <v>0</v>
      </c>
      <c r="AY113" s="95">
        <f t="shared" si="26"/>
        <v>0</v>
      </c>
      <c r="AZ113" s="95">
        <f t="shared" si="27"/>
        <v>0</v>
      </c>
      <c r="BA113" s="95">
        <f>'MRS(input_RL_Opt1)'!AB11</f>
        <v>0</v>
      </c>
      <c r="BB113" s="95">
        <f>'MRS(input_RL_Opt1)'!AC11</f>
        <v>0</v>
      </c>
    </row>
    <row r="114" spans="1:54" x14ac:dyDescent="0.2">
      <c r="A114" s="215"/>
      <c r="B114" s="53">
        <f t="shared" si="24"/>
        <v>2022</v>
      </c>
      <c r="C114" s="52">
        <f>C113*(1-'MRS(input_Option1)'!$F$48)</f>
        <v>0</v>
      </c>
      <c r="D114" s="52">
        <f>D113*(1-'MRS(input_Option1)'!$F$49)</f>
        <v>0</v>
      </c>
      <c r="E114" s="52">
        <f>E113*(1-'MRS(input_Option1)'!$F$50)</f>
        <v>0</v>
      </c>
      <c r="F114" s="52">
        <f>F113*(1-'MRS(input_Option1)'!$F$51)</f>
        <v>0</v>
      </c>
      <c r="G114" s="52">
        <f>G113*(1-'MRS(input_Option1)'!$F$52)</f>
        <v>0</v>
      </c>
      <c r="H114" s="52">
        <f>H113*(1-'MRS(input_Option1)'!$F$53)</f>
        <v>0</v>
      </c>
      <c r="I114" s="52">
        <f>I113*(1-'MRS(input_Option1)'!$F$54)</f>
        <v>0</v>
      </c>
      <c r="J114" s="52">
        <f>J113*(1-'MRS(input_Option1)'!$F$55)</f>
        <v>0</v>
      </c>
      <c r="K114" s="52">
        <f>K113*(1-'MRS(input_Option1)'!$F$56)</f>
        <v>0</v>
      </c>
      <c r="L114" s="52">
        <f>L113*(1-'MRS(input_Option1)'!$F$57)</f>
        <v>0</v>
      </c>
      <c r="M114" s="52">
        <f>M113*(1-'MRS(input_Option1)'!$F$58)</f>
        <v>0</v>
      </c>
      <c r="N114" s="52">
        <f t="shared" si="22"/>
        <v>16602.689531919157</v>
      </c>
      <c r="O114" s="52">
        <f>IFERROR(C113*'MRS(input_Option1)'!$F$48*$BA114/$BB114*'MRS(input_Option1)'!$F$59,0)</f>
        <v>0</v>
      </c>
      <c r="P114" s="52">
        <f>IFERROR(D113*'MRS(input_Option1)'!$F$49*$BA114/$BB114*'MRS(input_Option1)'!$F$60,0)</f>
        <v>0</v>
      </c>
      <c r="Q114" s="52">
        <f>IFERROR(E113*'MRS(input_Option1)'!$F$50*$BA114/$BB114*'MRS(input_Option1)'!$F$61,0)</f>
        <v>0</v>
      </c>
      <c r="R114" s="52">
        <f>IFERROR(F113*'MRS(input_Option1)'!$F$51*$BA114/$BB114*'MRS(input_Option1)'!$F$62,0)</f>
        <v>0</v>
      </c>
      <c r="S114" s="52">
        <f>IFERROR(G113*'MRS(input_Option1)'!$F$52*$BA114/$BB114*'MRS(input_Option1)'!$F$63,0)</f>
        <v>0</v>
      </c>
      <c r="T114" s="52">
        <f>IFERROR(H113*'MRS(input_Option1)'!$F$53*$BA114/$BB114*'MRS(input_Option1)'!$F$64,0)</f>
        <v>0</v>
      </c>
      <c r="U114" s="52">
        <f>IFERROR(I113*'MRS(input_Option1)'!$F$54*$BA114/$BB114*'MRS(input_Option1)'!$F$65,0)</f>
        <v>0</v>
      </c>
      <c r="V114" s="52">
        <f>IFERROR(J113*'MRS(input_Option1)'!$F$55*$BA114/$BB114*'MRS(input_Option1)'!$F$66,0)</f>
        <v>0</v>
      </c>
      <c r="W114" s="52">
        <f>IFERROR(K113*'MRS(input_Option1)'!$F$56*$BA114/$BB114*'MRS(input_Option1)'!$F$67,0)</f>
        <v>0</v>
      </c>
      <c r="X114" s="52">
        <f>IFERROR(L113*'MRS(input_Option1)'!$F$57*$BA114/$BB114*'MRS(input_Option1)'!$F$68,0)</f>
        <v>0</v>
      </c>
      <c r="Y114" s="52">
        <f>IFERROR(M113*'MRS(input_Option1)'!$F$58*$BA114/$BB114*'MRS(input_Option1)'!$F$69,0)</f>
        <v>0</v>
      </c>
      <c r="Z114" s="73"/>
      <c r="AA114" s="73"/>
      <c r="AB114" s="73"/>
      <c r="AC114" s="73"/>
      <c r="AD114" s="73"/>
      <c r="AE114" s="73"/>
      <c r="AF114" s="73"/>
      <c r="AG114" s="73"/>
      <c r="AH114" s="73"/>
      <c r="AI114" s="73"/>
      <c r="AJ114" s="73"/>
      <c r="AK114" s="73"/>
      <c r="AL114" s="52">
        <f>Z114*'MRS(input_Option1)'!$F$59</f>
        <v>0</v>
      </c>
      <c r="AM114" s="52">
        <f>AA114*'MRS(input_Option1)'!$F$60</f>
        <v>0</v>
      </c>
      <c r="AN114" s="52">
        <f>AB114*'MRS(input_Option1)'!$F$61</f>
        <v>0</v>
      </c>
      <c r="AO114" s="52">
        <f>AC114*'MRS(input_Option1)'!$F$62</f>
        <v>0</v>
      </c>
      <c r="AP114" s="52">
        <f>AD114*'MRS(input_Option1)'!$F$63</f>
        <v>0</v>
      </c>
      <c r="AQ114" s="52">
        <f>AE114*'MRS(input_Option1)'!$F$64</f>
        <v>0</v>
      </c>
      <c r="AR114" s="52">
        <f>AF114*'MRS(input_Option1)'!$F$65</f>
        <v>0</v>
      </c>
      <c r="AS114" s="52">
        <f>ROUND(AG114*'MRS(input_Option1)'!$F$66,2)</f>
        <v>0</v>
      </c>
      <c r="AT114" s="52">
        <f>AH114*'MRS(input_Option1)'!$F$67</f>
        <v>0</v>
      </c>
      <c r="AU114" s="52">
        <f>AI114*'MRS(input_Option1)'!$F$68</f>
        <v>0</v>
      </c>
      <c r="AV114" s="52">
        <f>AJ114*'MRS(input_Option1)'!$F$69</f>
        <v>0</v>
      </c>
      <c r="AW114" s="52">
        <f t="shared" si="23"/>
        <v>0</v>
      </c>
      <c r="AX114" s="95">
        <f t="shared" si="25"/>
        <v>0</v>
      </c>
      <c r="AY114" s="95">
        <f t="shared" si="26"/>
        <v>0</v>
      </c>
      <c r="AZ114" s="95">
        <f t="shared" si="27"/>
        <v>0</v>
      </c>
      <c r="BA114" s="95">
        <f>'MRS(input_RL_Opt1)'!AB12</f>
        <v>0</v>
      </c>
      <c r="BB114" s="95">
        <f>'MRS(input_RL_Opt1)'!AC12</f>
        <v>0</v>
      </c>
    </row>
    <row r="115" spans="1:54" x14ac:dyDescent="0.2">
      <c r="A115" s="215"/>
      <c r="B115" s="53">
        <f t="shared" si="24"/>
        <v>2023</v>
      </c>
      <c r="C115" s="52">
        <f>C114*(1-'MRS(input_Option1)'!$F$48)</f>
        <v>0</v>
      </c>
      <c r="D115" s="52">
        <f>D114*(1-'MRS(input_Option1)'!$F$49)</f>
        <v>0</v>
      </c>
      <c r="E115" s="52">
        <f>E114*(1-'MRS(input_Option1)'!$F$50)</f>
        <v>0</v>
      </c>
      <c r="F115" s="52">
        <f>F114*(1-'MRS(input_Option1)'!$F$51)</f>
        <v>0</v>
      </c>
      <c r="G115" s="52">
        <f>G114*(1-'MRS(input_Option1)'!$F$52)</f>
        <v>0</v>
      </c>
      <c r="H115" s="52">
        <f>H114*(1-'MRS(input_Option1)'!$F$53)</f>
        <v>0</v>
      </c>
      <c r="I115" s="52">
        <f>I114*(1-'MRS(input_Option1)'!$F$54)</f>
        <v>0</v>
      </c>
      <c r="J115" s="52">
        <f>J114*(1-'MRS(input_Option1)'!$F$55)</f>
        <v>0</v>
      </c>
      <c r="K115" s="52">
        <f>K114*(1-'MRS(input_Option1)'!$F$56)</f>
        <v>0</v>
      </c>
      <c r="L115" s="52">
        <f>L114*(1-'MRS(input_Option1)'!$F$57)</f>
        <v>0</v>
      </c>
      <c r="M115" s="52">
        <f>M114*(1-'MRS(input_Option1)'!$F$58)</f>
        <v>0</v>
      </c>
      <c r="N115" s="52">
        <f t="shared" si="22"/>
        <v>16602.689531919157</v>
      </c>
      <c r="O115" s="52">
        <f>IFERROR(C114*'MRS(input_Option1)'!$F$48*$BA115/$BB115*'MRS(input_Option1)'!$F$59,0)</f>
        <v>0</v>
      </c>
      <c r="P115" s="52">
        <f>IFERROR(D114*'MRS(input_Option1)'!$F$49*$BA115/$BB115*'MRS(input_Option1)'!$F$60,0)</f>
        <v>0</v>
      </c>
      <c r="Q115" s="52">
        <f>IFERROR(E114*'MRS(input_Option1)'!$F$50*$BA115/$BB115*'MRS(input_Option1)'!$F$61,0)</f>
        <v>0</v>
      </c>
      <c r="R115" s="52">
        <f>IFERROR(F114*'MRS(input_Option1)'!$F$51*$BA115/$BB115*'MRS(input_Option1)'!$F$62,0)</f>
        <v>0</v>
      </c>
      <c r="S115" s="52">
        <f>IFERROR(G114*'MRS(input_Option1)'!$F$52*$BA115/$BB115*'MRS(input_Option1)'!$F$63,0)</f>
        <v>0</v>
      </c>
      <c r="T115" s="52">
        <f>IFERROR(H114*'MRS(input_Option1)'!$F$53*$BA115/$BB115*'MRS(input_Option1)'!$F$64,0)</f>
        <v>0</v>
      </c>
      <c r="U115" s="52">
        <f>IFERROR(I114*'MRS(input_Option1)'!$F$54*$BA115/$BB115*'MRS(input_Option1)'!$F$65,0)</f>
        <v>0</v>
      </c>
      <c r="V115" s="52">
        <f>IFERROR(J114*'MRS(input_Option1)'!$F$55*$BA115/$BB115*'MRS(input_Option1)'!$F$66,0)</f>
        <v>0</v>
      </c>
      <c r="W115" s="52">
        <f>IFERROR(K114*'MRS(input_Option1)'!$F$56*$BA115/$BB115*'MRS(input_Option1)'!$F$67,0)</f>
        <v>0</v>
      </c>
      <c r="X115" s="52">
        <f>IFERROR(L114*'MRS(input_Option1)'!$F$57*$BA115/$BB115*'MRS(input_Option1)'!$F$68,0)</f>
        <v>0</v>
      </c>
      <c r="Y115" s="52">
        <f>IFERROR(M114*'MRS(input_Option1)'!$F$58*$BA115/$BB115*'MRS(input_Option1)'!$F$69,0)</f>
        <v>0</v>
      </c>
      <c r="Z115" s="73"/>
      <c r="AA115" s="73"/>
      <c r="AB115" s="73"/>
      <c r="AC115" s="73"/>
      <c r="AD115" s="73"/>
      <c r="AE115" s="73"/>
      <c r="AF115" s="73"/>
      <c r="AG115" s="73"/>
      <c r="AH115" s="73"/>
      <c r="AI115" s="73"/>
      <c r="AJ115" s="73"/>
      <c r="AK115" s="73"/>
      <c r="AL115" s="52">
        <f>Z115*'MRS(input_Option1)'!$F$59</f>
        <v>0</v>
      </c>
      <c r="AM115" s="52">
        <f>AA115*'MRS(input_Option1)'!$F$60</f>
        <v>0</v>
      </c>
      <c r="AN115" s="52">
        <f>AB115*'MRS(input_Option1)'!$F$61</f>
        <v>0</v>
      </c>
      <c r="AO115" s="52">
        <f>AC115*'MRS(input_Option1)'!$F$62</f>
        <v>0</v>
      </c>
      <c r="AP115" s="52">
        <f>AD115*'MRS(input_Option1)'!$F$63</f>
        <v>0</v>
      </c>
      <c r="AQ115" s="52">
        <f>AE115*'MRS(input_Option1)'!$F$64</f>
        <v>0</v>
      </c>
      <c r="AR115" s="52">
        <f>AF115*'MRS(input_Option1)'!$F$65</f>
        <v>0</v>
      </c>
      <c r="AS115" s="52">
        <f>ROUND(AG115*'MRS(input_Option1)'!$F$66,2)</f>
        <v>0</v>
      </c>
      <c r="AT115" s="52">
        <f>AH115*'MRS(input_Option1)'!$F$67</f>
        <v>0</v>
      </c>
      <c r="AU115" s="52">
        <f>AI115*'MRS(input_Option1)'!$F$68</f>
        <v>0</v>
      </c>
      <c r="AV115" s="52">
        <f>AJ115*'MRS(input_Option1)'!$F$69</f>
        <v>0</v>
      </c>
      <c r="AW115" s="52">
        <f t="shared" si="23"/>
        <v>0</v>
      </c>
      <c r="AX115" s="95">
        <f t="shared" si="25"/>
        <v>0</v>
      </c>
      <c r="AY115" s="95">
        <f t="shared" si="26"/>
        <v>0</v>
      </c>
      <c r="AZ115" s="95">
        <f t="shared" si="27"/>
        <v>0</v>
      </c>
      <c r="BA115" s="95">
        <f>'MRS(input_RL_Opt1)'!AB13</f>
        <v>0</v>
      </c>
      <c r="BB115" s="95">
        <f>'MRS(input_RL_Opt1)'!AC13</f>
        <v>0</v>
      </c>
    </row>
    <row r="116" spans="1:54" x14ac:dyDescent="0.2">
      <c r="A116" s="215"/>
      <c r="B116" s="53">
        <f t="shared" si="24"/>
        <v>2024</v>
      </c>
      <c r="C116" s="52">
        <f>C115*(1-'MRS(input_Option1)'!$F$48)</f>
        <v>0</v>
      </c>
      <c r="D116" s="52">
        <f>D115*(1-'MRS(input_Option1)'!$F$49)</f>
        <v>0</v>
      </c>
      <c r="E116" s="52">
        <f>E115*(1-'MRS(input_Option1)'!$F$50)</f>
        <v>0</v>
      </c>
      <c r="F116" s="52">
        <f>F115*(1-'MRS(input_Option1)'!$F$51)</f>
        <v>0</v>
      </c>
      <c r="G116" s="52">
        <f>G115*(1-'MRS(input_Option1)'!$F$52)</f>
        <v>0</v>
      </c>
      <c r="H116" s="52">
        <f>H115*(1-'MRS(input_Option1)'!$F$53)</f>
        <v>0</v>
      </c>
      <c r="I116" s="52">
        <f>I115*(1-'MRS(input_Option1)'!$F$54)</f>
        <v>0</v>
      </c>
      <c r="J116" s="52">
        <f>J115*(1-'MRS(input_Option1)'!$F$55)</f>
        <v>0</v>
      </c>
      <c r="K116" s="52">
        <f>K115*(1-'MRS(input_Option1)'!$F$56)</f>
        <v>0</v>
      </c>
      <c r="L116" s="52">
        <f>L115*(1-'MRS(input_Option1)'!$F$57)</f>
        <v>0</v>
      </c>
      <c r="M116" s="52">
        <f>M115*(1-'MRS(input_Option1)'!$F$58)</f>
        <v>0</v>
      </c>
      <c r="N116" s="52">
        <f t="shared" si="22"/>
        <v>16602.689531919157</v>
      </c>
      <c r="O116" s="52">
        <f>IFERROR(C115*'MRS(input_Option1)'!$F$48*$BA116/$BB116*'MRS(input_Option1)'!$F$59,0)</f>
        <v>0</v>
      </c>
      <c r="P116" s="52">
        <f>IFERROR(D115*'MRS(input_Option1)'!$F$49*$BA116/$BB116*'MRS(input_Option1)'!$F$60,0)</f>
        <v>0</v>
      </c>
      <c r="Q116" s="52">
        <f>IFERROR(E115*'MRS(input_Option1)'!$F$50*$BA116/$BB116*'MRS(input_Option1)'!$F$61,0)</f>
        <v>0</v>
      </c>
      <c r="R116" s="52">
        <f>IFERROR(F115*'MRS(input_Option1)'!$F$51*$BA116/$BB116*'MRS(input_Option1)'!$F$62,0)</f>
        <v>0</v>
      </c>
      <c r="S116" s="52">
        <f>IFERROR(G115*'MRS(input_Option1)'!$F$52*$BA116/$BB116*'MRS(input_Option1)'!$F$63,0)</f>
        <v>0</v>
      </c>
      <c r="T116" s="52">
        <f>IFERROR(H115*'MRS(input_Option1)'!$F$53*$BA116/$BB116*'MRS(input_Option1)'!$F$64,0)</f>
        <v>0</v>
      </c>
      <c r="U116" s="52">
        <f>IFERROR(I115*'MRS(input_Option1)'!$F$54*$BA116/$BB116*'MRS(input_Option1)'!$F$65,0)</f>
        <v>0</v>
      </c>
      <c r="V116" s="52">
        <f>IFERROR(J115*'MRS(input_Option1)'!$F$55*$BA116/$BB116*'MRS(input_Option1)'!$F$66,0)</f>
        <v>0</v>
      </c>
      <c r="W116" s="52">
        <f>IFERROR(K115*'MRS(input_Option1)'!$F$56*$BA116/$BB116*'MRS(input_Option1)'!$F$67,0)</f>
        <v>0</v>
      </c>
      <c r="X116" s="52">
        <f>IFERROR(L115*'MRS(input_Option1)'!$F$57*$BA116/$BB116*'MRS(input_Option1)'!$F$68,0)</f>
        <v>0</v>
      </c>
      <c r="Y116" s="52">
        <f>IFERROR(M115*'MRS(input_Option1)'!$F$58*$BA116/$BB116*'MRS(input_Option1)'!$F$69,0)</f>
        <v>0</v>
      </c>
      <c r="Z116" s="73"/>
      <c r="AA116" s="73"/>
      <c r="AB116" s="73"/>
      <c r="AC116" s="73"/>
      <c r="AD116" s="73"/>
      <c r="AE116" s="73"/>
      <c r="AF116" s="73"/>
      <c r="AG116" s="73"/>
      <c r="AH116" s="73"/>
      <c r="AI116" s="73"/>
      <c r="AJ116" s="73"/>
      <c r="AK116" s="73"/>
      <c r="AL116" s="52">
        <f>Z116*'MRS(input_Option1)'!$F$59</f>
        <v>0</v>
      </c>
      <c r="AM116" s="52">
        <f>AA116*'MRS(input_Option1)'!$F$60</f>
        <v>0</v>
      </c>
      <c r="AN116" s="52">
        <f>AB116*'MRS(input_Option1)'!$F$61</f>
        <v>0</v>
      </c>
      <c r="AO116" s="52">
        <f>AC116*'MRS(input_Option1)'!$F$62</f>
        <v>0</v>
      </c>
      <c r="AP116" s="52">
        <f>AD116*'MRS(input_Option1)'!$F$63</f>
        <v>0</v>
      </c>
      <c r="AQ116" s="52">
        <f>AE116*'MRS(input_Option1)'!$F$64</f>
        <v>0</v>
      </c>
      <c r="AR116" s="52">
        <f>AF116*'MRS(input_Option1)'!$F$65</f>
        <v>0</v>
      </c>
      <c r="AS116" s="52">
        <f>ROUND(AG116*'MRS(input_Option1)'!$F$66,2)</f>
        <v>0</v>
      </c>
      <c r="AT116" s="52">
        <f>AH116*'MRS(input_Option1)'!$F$67</f>
        <v>0</v>
      </c>
      <c r="AU116" s="52">
        <f>AI116*'MRS(input_Option1)'!$F$68</f>
        <v>0</v>
      </c>
      <c r="AV116" s="52">
        <f>AJ116*'MRS(input_Option1)'!$F$69</f>
        <v>0</v>
      </c>
      <c r="AW116" s="52">
        <f t="shared" si="23"/>
        <v>0</v>
      </c>
      <c r="AX116" s="95">
        <f t="shared" si="25"/>
        <v>0</v>
      </c>
      <c r="AY116" s="95">
        <f t="shared" si="26"/>
        <v>0</v>
      </c>
      <c r="AZ116" s="95">
        <f t="shared" si="27"/>
        <v>0</v>
      </c>
      <c r="BA116" s="95">
        <f>'MRS(input_RL_Opt1)'!AB14</f>
        <v>0</v>
      </c>
      <c r="BB116" s="95">
        <f>'MRS(input_RL_Opt1)'!AC14</f>
        <v>0</v>
      </c>
    </row>
    <row r="117" spans="1:54" x14ac:dyDescent="0.2">
      <c r="A117" s="215"/>
      <c r="B117" s="53">
        <f t="shared" si="24"/>
        <v>2025</v>
      </c>
      <c r="C117" s="52">
        <f>C116*(1-'MRS(input_Option1)'!$F$48)</f>
        <v>0</v>
      </c>
      <c r="D117" s="52">
        <f>D116*(1-'MRS(input_Option1)'!$F$49)</f>
        <v>0</v>
      </c>
      <c r="E117" s="52">
        <f>E116*(1-'MRS(input_Option1)'!$F$50)</f>
        <v>0</v>
      </c>
      <c r="F117" s="52">
        <f>F116*(1-'MRS(input_Option1)'!$F$51)</f>
        <v>0</v>
      </c>
      <c r="G117" s="52">
        <f>G116*(1-'MRS(input_Option1)'!$F$52)</f>
        <v>0</v>
      </c>
      <c r="H117" s="52">
        <f>H116*(1-'MRS(input_Option1)'!$F$53)</f>
        <v>0</v>
      </c>
      <c r="I117" s="52">
        <f>I116*(1-'MRS(input_Option1)'!$F$54)</f>
        <v>0</v>
      </c>
      <c r="J117" s="52">
        <f>J116*(1-'MRS(input_Option1)'!$F$55)</f>
        <v>0</v>
      </c>
      <c r="K117" s="52">
        <f>K116*(1-'MRS(input_Option1)'!$F$56)</f>
        <v>0</v>
      </c>
      <c r="L117" s="52">
        <f>L116*(1-'MRS(input_Option1)'!$F$57)</f>
        <v>0</v>
      </c>
      <c r="M117" s="52">
        <f>M116*(1-'MRS(input_Option1)'!$F$58)</f>
        <v>0</v>
      </c>
      <c r="N117" s="52">
        <f t="shared" si="22"/>
        <v>16602.689531919157</v>
      </c>
      <c r="O117" s="52">
        <f>IFERROR(C116*'MRS(input_Option1)'!$F$48*$BA117/$BB117*'MRS(input_Option1)'!$F$59,0)</f>
        <v>0</v>
      </c>
      <c r="P117" s="52">
        <f>IFERROR(D116*'MRS(input_Option1)'!$F$49*$BA117/$BB117*'MRS(input_Option1)'!$F$60,0)</f>
        <v>0</v>
      </c>
      <c r="Q117" s="52">
        <f>IFERROR(E116*'MRS(input_Option1)'!$F$50*$BA117/$BB117*'MRS(input_Option1)'!$F$61,0)</f>
        <v>0</v>
      </c>
      <c r="R117" s="52">
        <f>IFERROR(F116*'MRS(input_Option1)'!$F$51*$BA117/$BB117*'MRS(input_Option1)'!$F$62,0)</f>
        <v>0</v>
      </c>
      <c r="S117" s="52">
        <f>IFERROR(G116*'MRS(input_Option1)'!$F$52*$BA117/$BB117*'MRS(input_Option1)'!$F$63,0)</f>
        <v>0</v>
      </c>
      <c r="T117" s="52">
        <f>IFERROR(H116*'MRS(input_Option1)'!$F$53*$BA117/$BB117*'MRS(input_Option1)'!$F$64,0)</f>
        <v>0</v>
      </c>
      <c r="U117" s="52">
        <f>IFERROR(I116*'MRS(input_Option1)'!$F$54*$BA117/$BB117*'MRS(input_Option1)'!$F$65,0)</f>
        <v>0</v>
      </c>
      <c r="V117" s="52">
        <f>IFERROR(J116*'MRS(input_Option1)'!$F$55*$BA117/$BB117*'MRS(input_Option1)'!$F$66,0)</f>
        <v>0</v>
      </c>
      <c r="W117" s="52">
        <f>IFERROR(K116*'MRS(input_Option1)'!$F$56*$BA117/$BB117*'MRS(input_Option1)'!$F$67,0)</f>
        <v>0</v>
      </c>
      <c r="X117" s="52">
        <f>IFERROR(L116*'MRS(input_Option1)'!$F$57*$BA117/$BB117*'MRS(input_Option1)'!$F$68,0)</f>
        <v>0</v>
      </c>
      <c r="Y117" s="52">
        <f>IFERROR(M116*'MRS(input_Option1)'!$F$58*$BA117/$BB117*'MRS(input_Option1)'!$F$69,0)</f>
        <v>0</v>
      </c>
      <c r="Z117" s="73"/>
      <c r="AA117" s="73"/>
      <c r="AB117" s="73"/>
      <c r="AC117" s="73"/>
      <c r="AD117" s="73"/>
      <c r="AE117" s="73"/>
      <c r="AF117" s="73"/>
      <c r="AG117" s="73"/>
      <c r="AH117" s="73"/>
      <c r="AI117" s="73"/>
      <c r="AJ117" s="73"/>
      <c r="AK117" s="73"/>
      <c r="AL117" s="52">
        <f>Z117*'MRS(input_Option1)'!$F$59</f>
        <v>0</v>
      </c>
      <c r="AM117" s="52">
        <f>AA117*'MRS(input_Option1)'!$F$60</f>
        <v>0</v>
      </c>
      <c r="AN117" s="52">
        <f>AB117*'MRS(input_Option1)'!$F$61</f>
        <v>0</v>
      </c>
      <c r="AO117" s="52">
        <f>AC117*'MRS(input_Option1)'!$F$62</f>
        <v>0</v>
      </c>
      <c r="AP117" s="52">
        <f>AD117*'MRS(input_Option1)'!$F$63</f>
        <v>0</v>
      </c>
      <c r="AQ117" s="52">
        <f>AE117*'MRS(input_Option1)'!$F$64</f>
        <v>0</v>
      </c>
      <c r="AR117" s="52">
        <f>AF117*'MRS(input_Option1)'!$F$65</f>
        <v>0</v>
      </c>
      <c r="AS117" s="52">
        <f>ROUND(AG117*'MRS(input_Option1)'!$F$66,2)</f>
        <v>0</v>
      </c>
      <c r="AT117" s="52">
        <f>AH117*'MRS(input_Option1)'!$F$67</f>
        <v>0</v>
      </c>
      <c r="AU117" s="52">
        <f>AI117*'MRS(input_Option1)'!$F$68</f>
        <v>0</v>
      </c>
      <c r="AV117" s="52">
        <f>AJ117*'MRS(input_Option1)'!$F$69</f>
        <v>0</v>
      </c>
      <c r="AW117" s="52">
        <f t="shared" si="23"/>
        <v>0</v>
      </c>
      <c r="AX117" s="95">
        <f t="shared" si="25"/>
        <v>0</v>
      </c>
      <c r="AY117" s="95">
        <f t="shared" si="26"/>
        <v>0</v>
      </c>
      <c r="AZ117" s="95">
        <f t="shared" si="27"/>
        <v>0</v>
      </c>
      <c r="BA117" s="95">
        <f>'MRS(input_RL_Opt1)'!AB15</f>
        <v>0</v>
      </c>
      <c r="BB117" s="95">
        <f>'MRS(input_RL_Opt1)'!AC15</f>
        <v>0</v>
      </c>
    </row>
    <row r="118" spans="1:54" x14ac:dyDescent="0.2">
      <c r="A118" s="215"/>
      <c r="B118" s="53">
        <f t="shared" si="24"/>
        <v>2026</v>
      </c>
      <c r="C118" s="52">
        <f>C117*(1-'MRS(input_Option1)'!$F$48)</f>
        <v>0</v>
      </c>
      <c r="D118" s="52">
        <f>D117*(1-'MRS(input_Option1)'!$F$49)</f>
        <v>0</v>
      </c>
      <c r="E118" s="52">
        <f>E117*(1-'MRS(input_Option1)'!$F$50)</f>
        <v>0</v>
      </c>
      <c r="F118" s="52">
        <f>F117*(1-'MRS(input_Option1)'!$F$51)</f>
        <v>0</v>
      </c>
      <c r="G118" s="52">
        <f>G117*(1-'MRS(input_Option1)'!$F$52)</f>
        <v>0</v>
      </c>
      <c r="H118" s="52">
        <f>H117*(1-'MRS(input_Option1)'!$F$53)</f>
        <v>0</v>
      </c>
      <c r="I118" s="52">
        <f>I117*(1-'MRS(input_Option1)'!$F$54)</f>
        <v>0</v>
      </c>
      <c r="J118" s="52">
        <f>J117*(1-'MRS(input_Option1)'!$F$55)</f>
        <v>0</v>
      </c>
      <c r="K118" s="52">
        <f>K117*(1-'MRS(input_Option1)'!$F$56)</f>
        <v>0</v>
      </c>
      <c r="L118" s="52">
        <f>L117*(1-'MRS(input_Option1)'!$F$57)</f>
        <v>0</v>
      </c>
      <c r="M118" s="52">
        <f>M117*(1-'MRS(input_Option1)'!$F$58)</f>
        <v>0</v>
      </c>
      <c r="N118" s="52">
        <f t="shared" si="22"/>
        <v>16602.689531919157</v>
      </c>
      <c r="O118" s="52">
        <f>IFERROR(C117*'MRS(input_Option1)'!$F$48*$BA118/$BB118*'MRS(input_Option1)'!$F$59,0)</f>
        <v>0</v>
      </c>
      <c r="P118" s="52">
        <f>IFERROR(D117*'MRS(input_Option1)'!$F$49*$BA118/$BB118*'MRS(input_Option1)'!$F$60,0)</f>
        <v>0</v>
      </c>
      <c r="Q118" s="52">
        <f>IFERROR(E117*'MRS(input_Option1)'!$F$50*$BA118/$BB118*'MRS(input_Option1)'!$F$61,0)</f>
        <v>0</v>
      </c>
      <c r="R118" s="52">
        <f>IFERROR(F117*'MRS(input_Option1)'!$F$51*$BA118/$BB118*'MRS(input_Option1)'!$F$62,0)</f>
        <v>0</v>
      </c>
      <c r="S118" s="52">
        <f>IFERROR(G117*'MRS(input_Option1)'!$F$52*$BA118/$BB118*'MRS(input_Option1)'!$F$63,0)</f>
        <v>0</v>
      </c>
      <c r="T118" s="52">
        <f>IFERROR(H117*'MRS(input_Option1)'!$F$53*$BA118/$BB118*'MRS(input_Option1)'!$F$64,0)</f>
        <v>0</v>
      </c>
      <c r="U118" s="52">
        <f>IFERROR(I117*'MRS(input_Option1)'!$F$54*$BA118/$BB118*'MRS(input_Option1)'!$F$65,0)</f>
        <v>0</v>
      </c>
      <c r="V118" s="52">
        <f>IFERROR(J117*'MRS(input_Option1)'!$F$55*$BA118/$BB118*'MRS(input_Option1)'!$F$66,0)</f>
        <v>0</v>
      </c>
      <c r="W118" s="52">
        <f>IFERROR(K117*'MRS(input_Option1)'!$F$56*$BA118/$BB118*'MRS(input_Option1)'!$F$67,0)</f>
        <v>0</v>
      </c>
      <c r="X118" s="52">
        <f>IFERROR(L117*'MRS(input_Option1)'!$F$57*$BA118/$BB118*'MRS(input_Option1)'!$F$68,0)</f>
        <v>0</v>
      </c>
      <c r="Y118" s="52">
        <f>IFERROR(M117*'MRS(input_Option1)'!$F$58*$BA118/$BB118*'MRS(input_Option1)'!$F$69,0)</f>
        <v>0</v>
      </c>
      <c r="Z118" s="73"/>
      <c r="AA118" s="73"/>
      <c r="AB118" s="73"/>
      <c r="AC118" s="73"/>
      <c r="AD118" s="73"/>
      <c r="AE118" s="73"/>
      <c r="AF118" s="73"/>
      <c r="AG118" s="73"/>
      <c r="AH118" s="73"/>
      <c r="AI118" s="73"/>
      <c r="AJ118" s="73"/>
      <c r="AK118" s="73"/>
      <c r="AL118" s="52">
        <f>Z118*'MRS(input_Option1)'!$F$59</f>
        <v>0</v>
      </c>
      <c r="AM118" s="52">
        <f>AA118*'MRS(input_Option1)'!$F$60</f>
        <v>0</v>
      </c>
      <c r="AN118" s="52">
        <f>AB118*'MRS(input_Option1)'!$F$61</f>
        <v>0</v>
      </c>
      <c r="AO118" s="52">
        <f>AC118*'MRS(input_Option1)'!$F$62</f>
        <v>0</v>
      </c>
      <c r="AP118" s="52">
        <f>AD118*'MRS(input_Option1)'!$F$63</f>
        <v>0</v>
      </c>
      <c r="AQ118" s="52">
        <f>AE118*'MRS(input_Option1)'!$F$64</f>
        <v>0</v>
      </c>
      <c r="AR118" s="52">
        <f>AF118*'MRS(input_Option1)'!$F$65</f>
        <v>0</v>
      </c>
      <c r="AS118" s="52">
        <f>ROUND(AG118*'MRS(input_Option1)'!$F$66,2)</f>
        <v>0</v>
      </c>
      <c r="AT118" s="52">
        <f>AH118*'MRS(input_Option1)'!$F$67</f>
        <v>0</v>
      </c>
      <c r="AU118" s="52">
        <f>AI118*'MRS(input_Option1)'!$F$68</f>
        <v>0</v>
      </c>
      <c r="AV118" s="52">
        <f>AJ118*'MRS(input_Option1)'!$F$69</f>
        <v>0</v>
      </c>
      <c r="AW118" s="52">
        <f t="shared" si="23"/>
        <v>0</v>
      </c>
      <c r="AX118" s="95">
        <f t="shared" si="25"/>
        <v>0</v>
      </c>
      <c r="AY118" s="95">
        <f t="shared" si="26"/>
        <v>0</v>
      </c>
      <c r="AZ118" s="95">
        <f t="shared" si="27"/>
        <v>0</v>
      </c>
      <c r="BA118" s="95">
        <f>'MRS(input_RL_Opt1)'!AB16</f>
        <v>0</v>
      </c>
      <c r="BB118" s="95">
        <f>'MRS(input_RL_Opt1)'!AC16</f>
        <v>0</v>
      </c>
    </row>
    <row r="119" spans="1:54" x14ac:dyDescent="0.2">
      <c r="A119" s="215"/>
      <c r="B119" s="53">
        <f t="shared" si="24"/>
        <v>2027</v>
      </c>
      <c r="C119" s="52">
        <f>C118*(1-'MRS(input_Option1)'!$F$48)</f>
        <v>0</v>
      </c>
      <c r="D119" s="52">
        <f>D118*(1-'MRS(input_Option1)'!$F$49)</f>
        <v>0</v>
      </c>
      <c r="E119" s="52">
        <f>E118*(1-'MRS(input_Option1)'!$F$50)</f>
        <v>0</v>
      </c>
      <c r="F119" s="52">
        <f>F118*(1-'MRS(input_Option1)'!$F$51)</f>
        <v>0</v>
      </c>
      <c r="G119" s="52">
        <f>G118*(1-'MRS(input_Option1)'!$F$52)</f>
        <v>0</v>
      </c>
      <c r="H119" s="52">
        <f>H118*(1-'MRS(input_Option1)'!$F$53)</f>
        <v>0</v>
      </c>
      <c r="I119" s="52">
        <f>I118*(1-'MRS(input_Option1)'!$F$54)</f>
        <v>0</v>
      </c>
      <c r="J119" s="52">
        <f>J118*(1-'MRS(input_Option1)'!$F$55)</f>
        <v>0</v>
      </c>
      <c r="K119" s="52">
        <f>K118*(1-'MRS(input_Option1)'!$F$56)</f>
        <v>0</v>
      </c>
      <c r="L119" s="52">
        <f>L118*(1-'MRS(input_Option1)'!$F$57)</f>
        <v>0</v>
      </c>
      <c r="M119" s="52">
        <f>M118*(1-'MRS(input_Option1)'!$F$58)</f>
        <v>0</v>
      </c>
      <c r="N119" s="52">
        <f t="shared" si="22"/>
        <v>16602.689531919157</v>
      </c>
      <c r="O119" s="52">
        <f>IFERROR(C118*'MRS(input_Option1)'!$F$48*$BA119/$BB119*'MRS(input_Option1)'!$F$59,0)</f>
        <v>0</v>
      </c>
      <c r="P119" s="52">
        <f>IFERROR(D118*'MRS(input_Option1)'!$F$49*$BA119/$BB119*'MRS(input_Option1)'!$F$60,0)</f>
        <v>0</v>
      </c>
      <c r="Q119" s="52">
        <f>IFERROR(E118*'MRS(input_Option1)'!$F$50*$BA119/$BB119*'MRS(input_Option1)'!$F$61,0)</f>
        <v>0</v>
      </c>
      <c r="R119" s="52">
        <f>IFERROR(F118*'MRS(input_Option1)'!$F$51*$BA119/$BB119*'MRS(input_Option1)'!$F$62,0)</f>
        <v>0</v>
      </c>
      <c r="S119" s="52">
        <f>IFERROR(G118*'MRS(input_Option1)'!$F$52*$BA119/$BB119*'MRS(input_Option1)'!$F$63,0)</f>
        <v>0</v>
      </c>
      <c r="T119" s="52">
        <f>IFERROR(H118*'MRS(input_Option1)'!$F$53*$BA119/$BB119*'MRS(input_Option1)'!$F$64,0)</f>
        <v>0</v>
      </c>
      <c r="U119" s="52">
        <f>IFERROR(I118*'MRS(input_Option1)'!$F$54*$BA119/$BB119*'MRS(input_Option1)'!$F$65,0)</f>
        <v>0</v>
      </c>
      <c r="V119" s="52">
        <f>IFERROR(J118*'MRS(input_Option1)'!$F$55*$BA119/$BB119*'MRS(input_Option1)'!$F$66,0)</f>
        <v>0</v>
      </c>
      <c r="W119" s="52">
        <f>IFERROR(K118*'MRS(input_Option1)'!$F$56*$BA119/$BB119*'MRS(input_Option1)'!$F$67,0)</f>
        <v>0</v>
      </c>
      <c r="X119" s="52">
        <f>IFERROR(L118*'MRS(input_Option1)'!$F$57*$BA119/$BB119*'MRS(input_Option1)'!$F$68,0)</f>
        <v>0</v>
      </c>
      <c r="Y119" s="52">
        <f>IFERROR(M118*'MRS(input_Option1)'!$F$58*$BA119/$BB119*'MRS(input_Option1)'!$F$69,0)</f>
        <v>0</v>
      </c>
      <c r="Z119" s="73"/>
      <c r="AA119" s="73"/>
      <c r="AB119" s="73"/>
      <c r="AC119" s="73"/>
      <c r="AD119" s="73"/>
      <c r="AE119" s="73"/>
      <c r="AF119" s="73"/>
      <c r="AG119" s="73"/>
      <c r="AH119" s="73"/>
      <c r="AI119" s="73"/>
      <c r="AJ119" s="73"/>
      <c r="AK119" s="73"/>
      <c r="AL119" s="52">
        <f>Z119*'MRS(input_Option1)'!$F$59</f>
        <v>0</v>
      </c>
      <c r="AM119" s="52">
        <f>AA119*'MRS(input_Option1)'!$F$60</f>
        <v>0</v>
      </c>
      <c r="AN119" s="52">
        <f>AB119*'MRS(input_Option1)'!$F$61</f>
        <v>0</v>
      </c>
      <c r="AO119" s="52">
        <f>AC119*'MRS(input_Option1)'!$F$62</f>
        <v>0</v>
      </c>
      <c r="AP119" s="52">
        <f>AD119*'MRS(input_Option1)'!$F$63</f>
        <v>0</v>
      </c>
      <c r="AQ119" s="52">
        <f>AE119*'MRS(input_Option1)'!$F$64</f>
        <v>0</v>
      </c>
      <c r="AR119" s="52">
        <f>AF119*'MRS(input_Option1)'!$F$65</f>
        <v>0</v>
      </c>
      <c r="AS119" s="52">
        <f>ROUND(AG119*'MRS(input_Option1)'!$F$66,2)</f>
        <v>0</v>
      </c>
      <c r="AT119" s="52">
        <f>AH119*'MRS(input_Option1)'!$F$67</f>
        <v>0</v>
      </c>
      <c r="AU119" s="52">
        <f>AI119*'MRS(input_Option1)'!$F$68</f>
        <v>0</v>
      </c>
      <c r="AV119" s="52">
        <f>AJ119*'MRS(input_Option1)'!$F$69</f>
        <v>0</v>
      </c>
      <c r="AW119" s="52">
        <f t="shared" si="23"/>
        <v>0</v>
      </c>
      <c r="AX119" s="95">
        <f t="shared" si="25"/>
        <v>0</v>
      </c>
      <c r="AY119" s="95">
        <f t="shared" si="26"/>
        <v>0</v>
      </c>
      <c r="AZ119" s="95">
        <f t="shared" si="27"/>
        <v>0</v>
      </c>
      <c r="BA119" s="95">
        <f>'MRS(input_RL_Opt1)'!AB17</f>
        <v>0</v>
      </c>
      <c r="BB119" s="95">
        <f>'MRS(input_RL_Opt1)'!AC17</f>
        <v>0</v>
      </c>
    </row>
    <row r="120" spans="1:54" x14ac:dyDescent="0.2">
      <c r="A120" s="215"/>
      <c r="B120" s="53">
        <f t="shared" si="24"/>
        <v>2028</v>
      </c>
      <c r="C120" s="52">
        <f>C119*(1-'MRS(input_Option1)'!$F$48)</f>
        <v>0</v>
      </c>
      <c r="D120" s="52">
        <f>D119*(1-'MRS(input_Option1)'!$F$49)</f>
        <v>0</v>
      </c>
      <c r="E120" s="52">
        <f>E119*(1-'MRS(input_Option1)'!$F$50)</f>
        <v>0</v>
      </c>
      <c r="F120" s="52">
        <f>F119*(1-'MRS(input_Option1)'!$F$51)</f>
        <v>0</v>
      </c>
      <c r="G120" s="52">
        <f>G119*(1-'MRS(input_Option1)'!$F$52)</f>
        <v>0</v>
      </c>
      <c r="H120" s="52">
        <f>H119*(1-'MRS(input_Option1)'!$F$53)</f>
        <v>0</v>
      </c>
      <c r="I120" s="52">
        <f>I119*(1-'MRS(input_Option1)'!$F$54)</f>
        <v>0</v>
      </c>
      <c r="J120" s="52">
        <f>J119*(1-'MRS(input_Option1)'!$F$55)</f>
        <v>0</v>
      </c>
      <c r="K120" s="52">
        <f>K119*(1-'MRS(input_Option1)'!$F$56)</f>
        <v>0</v>
      </c>
      <c r="L120" s="52">
        <f>L119*(1-'MRS(input_Option1)'!$F$57)</f>
        <v>0</v>
      </c>
      <c r="M120" s="52">
        <f>M119*(1-'MRS(input_Option1)'!$F$58)</f>
        <v>0</v>
      </c>
      <c r="N120" s="52">
        <f t="shared" si="22"/>
        <v>16602.689531919157</v>
      </c>
      <c r="O120" s="52">
        <f>IFERROR(C119*'MRS(input_Option1)'!$F$48*$BA120/$BB120*'MRS(input_Option1)'!$F$59,0)</f>
        <v>0</v>
      </c>
      <c r="P120" s="52">
        <f>IFERROR(D119*'MRS(input_Option1)'!$F$49*$BA120/$BB120*'MRS(input_Option1)'!$F$60,0)</f>
        <v>0</v>
      </c>
      <c r="Q120" s="52">
        <f>IFERROR(E119*'MRS(input_Option1)'!$F$50*$BA120/$BB120*'MRS(input_Option1)'!$F$61,0)</f>
        <v>0</v>
      </c>
      <c r="R120" s="52">
        <f>IFERROR(F119*'MRS(input_Option1)'!$F$51*$BA120/$BB120*'MRS(input_Option1)'!$F$62,0)</f>
        <v>0</v>
      </c>
      <c r="S120" s="52">
        <f>IFERROR(G119*'MRS(input_Option1)'!$F$52*$BA120/$BB120*'MRS(input_Option1)'!$F$63,0)</f>
        <v>0</v>
      </c>
      <c r="T120" s="52">
        <f>IFERROR(H119*'MRS(input_Option1)'!$F$53*$BA120/$BB120*'MRS(input_Option1)'!$F$64,0)</f>
        <v>0</v>
      </c>
      <c r="U120" s="52">
        <f>IFERROR(I119*'MRS(input_Option1)'!$F$54*$BA120/$BB120*'MRS(input_Option1)'!$F$65,0)</f>
        <v>0</v>
      </c>
      <c r="V120" s="52">
        <f>IFERROR(J119*'MRS(input_Option1)'!$F$55*$BA120/$BB120*'MRS(input_Option1)'!$F$66,0)</f>
        <v>0</v>
      </c>
      <c r="W120" s="52">
        <f>IFERROR(K119*'MRS(input_Option1)'!$F$56*$BA120/$BB120*'MRS(input_Option1)'!$F$67,0)</f>
        <v>0</v>
      </c>
      <c r="X120" s="52">
        <f>IFERROR(L119*'MRS(input_Option1)'!$F$57*$BA120/$BB120*'MRS(input_Option1)'!$F$68,0)</f>
        <v>0</v>
      </c>
      <c r="Y120" s="52">
        <f>IFERROR(M119*'MRS(input_Option1)'!$F$58*$BA120/$BB120*'MRS(input_Option1)'!$F$69,0)</f>
        <v>0</v>
      </c>
      <c r="Z120" s="73"/>
      <c r="AA120" s="73"/>
      <c r="AB120" s="73"/>
      <c r="AC120" s="73"/>
      <c r="AD120" s="73"/>
      <c r="AE120" s="73"/>
      <c r="AF120" s="73"/>
      <c r="AG120" s="73"/>
      <c r="AH120" s="73"/>
      <c r="AI120" s="73"/>
      <c r="AJ120" s="73"/>
      <c r="AK120" s="73"/>
      <c r="AL120" s="52">
        <f>Z120*'MRS(input_Option1)'!$F$59</f>
        <v>0</v>
      </c>
      <c r="AM120" s="52">
        <f>AA120*'MRS(input_Option1)'!$F$60</f>
        <v>0</v>
      </c>
      <c r="AN120" s="52">
        <f>AB120*'MRS(input_Option1)'!$F$61</f>
        <v>0</v>
      </c>
      <c r="AO120" s="52">
        <f>AC120*'MRS(input_Option1)'!$F$62</f>
        <v>0</v>
      </c>
      <c r="AP120" s="52">
        <f>AD120*'MRS(input_Option1)'!$F$63</f>
        <v>0</v>
      </c>
      <c r="AQ120" s="52">
        <f>AE120*'MRS(input_Option1)'!$F$64</f>
        <v>0</v>
      </c>
      <c r="AR120" s="52">
        <f>AF120*'MRS(input_Option1)'!$F$65</f>
        <v>0</v>
      </c>
      <c r="AS120" s="52">
        <f>ROUND(AG120*'MRS(input_Option1)'!$F$66,2)</f>
        <v>0</v>
      </c>
      <c r="AT120" s="52">
        <f>AH120*'MRS(input_Option1)'!$F$67</f>
        <v>0</v>
      </c>
      <c r="AU120" s="52">
        <f>AI120*'MRS(input_Option1)'!$F$68</f>
        <v>0</v>
      </c>
      <c r="AV120" s="52">
        <f>AJ120*'MRS(input_Option1)'!$F$69</f>
        <v>0</v>
      </c>
      <c r="AW120" s="52">
        <f t="shared" si="23"/>
        <v>0</v>
      </c>
      <c r="AX120" s="95">
        <f t="shared" si="25"/>
        <v>0</v>
      </c>
      <c r="AY120" s="95">
        <f t="shared" si="26"/>
        <v>0</v>
      </c>
      <c r="AZ120" s="95">
        <f t="shared" si="27"/>
        <v>0</v>
      </c>
      <c r="BA120" s="95">
        <f>'MRS(input_RL_Opt1)'!AB18</f>
        <v>0</v>
      </c>
      <c r="BB120" s="95">
        <f>'MRS(input_RL_Opt1)'!AC18</f>
        <v>0</v>
      </c>
    </row>
    <row r="121" spans="1:54" x14ac:dyDescent="0.2">
      <c r="A121" s="216"/>
      <c r="B121" s="53">
        <f t="shared" si="24"/>
        <v>2029</v>
      </c>
      <c r="C121" s="52">
        <f>C120*(1-'MRS(input_Option1)'!$F$48)</f>
        <v>0</v>
      </c>
      <c r="D121" s="52">
        <f>D120*(1-'MRS(input_Option1)'!$F$49)</f>
        <v>0</v>
      </c>
      <c r="E121" s="52">
        <f>E120*(1-'MRS(input_Option1)'!$F$50)</f>
        <v>0</v>
      </c>
      <c r="F121" s="52">
        <f>F120*(1-'MRS(input_Option1)'!$F$51)</f>
        <v>0</v>
      </c>
      <c r="G121" s="52">
        <f>G120*(1-'MRS(input_Option1)'!$F$52)</f>
        <v>0</v>
      </c>
      <c r="H121" s="52">
        <f>H120*(1-'MRS(input_Option1)'!$F$53)</f>
        <v>0</v>
      </c>
      <c r="I121" s="52">
        <f>I120*(1-'MRS(input_Option1)'!$F$54)</f>
        <v>0</v>
      </c>
      <c r="J121" s="52">
        <f>J120*(1-'MRS(input_Option1)'!$F$55)</f>
        <v>0</v>
      </c>
      <c r="K121" s="52">
        <f>K120*(1-'MRS(input_Option1)'!$F$56)</f>
        <v>0</v>
      </c>
      <c r="L121" s="52">
        <f>L120*(1-'MRS(input_Option1)'!$F$57)</f>
        <v>0</v>
      </c>
      <c r="M121" s="52">
        <f>M120*(1-'MRS(input_Option1)'!$F$58)</f>
        <v>0</v>
      </c>
      <c r="N121" s="52">
        <f t="shared" si="22"/>
        <v>16602.689531919157</v>
      </c>
      <c r="O121" s="52">
        <f>IFERROR(C120*'MRS(input_Option1)'!$F$48*$BA121/$BB121*'MRS(input_Option1)'!$F$59,0)</f>
        <v>0</v>
      </c>
      <c r="P121" s="52">
        <f>IFERROR(D120*'MRS(input_Option1)'!$F$49*$BA121/$BB121*'MRS(input_Option1)'!$F$60,0)</f>
        <v>0</v>
      </c>
      <c r="Q121" s="52">
        <f>IFERROR(E120*'MRS(input_Option1)'!$F$50*$BA121/$BB121*'MRS(input_Option1)'!$F$61,0)</f>
        <v>0</v>
      </c>
      <c r="R121" s="52">
        <f>IFERROR(F120*'MRS(input_Option1)'!$F$51*$BA121/$BB121*'MRS(input_Option1)'!$F$62,0)</f>
        <v>0</v>
      </c>
      <c r="S121" s="52">
        <f>IFERROR(G120*'MRS(input_Option1)'!$F$52*$BA121/$BB121*'MRS(input_Option1)'!$F$63,0)</f>
        <v>0</v>
      </c>
      <c r="T121" s="52">
        <f>IFERROR(H120*'MRS(input_Option1)'!$F$53*$BA121/$BB121*'MRS(input_Option1)'!$F$64,0)</f>
        <v>0</v>
      </c>
      <c r="U121" s="52">
        <f>IFERROR(I120*'MRS(input_Option1)'!$F$54*$BA121/$BB121*'MRS(input_Option1)'!$F$65,0)</f>
        <v>0</v>
      </c>
      <c r="V121" s="52">
        <f>IFERROR(J120*'MRS(input_Option1)'!$F$55*$BA121/$BB121*'MRS(input_Option1)'!$F$66,0)</f>
        <v>0</v>
      </c>
      <c r="W121" s="52">
        <f>IFERROR(K120*'MRS(input_Option1)'!$F$56*$BA121/$BB121*'MRS(input_Option1)'!$F$67,0)</f>
        <v>0</v>
      </c>
      <c r="X121" s="52">
        <f>IFERROR(L120*'MRS(input_Option1)'!$F$57*$BA121/$BB121*'MRS(input_Option1)'!$F$68,0)</f>
        <v>0</v>
      </c>
      <c r="Y121" s="52">
        <f>IFERROR(M120*'MRS(input_Option1)'!$F$58*$BA121/$BB121*'MRS(input_Option1)'!$F$69,0)</f>
        <v>0</v>
      </c>
      <c r="Z121" s="73"/>
      <c r="AA121" s="73"/>
      <c r="AB121" s="73"/>
      <c r="AC121" s="73"/>
      <c r="AD121" s="73"/>
      <c r="AE121" s="73"/>
      <c r="AF121" s="73"/>
      <c r="AG121" s="73"/>
      <c r="AH121" s="73"/>
      <c r="AI121" s="73"/>
      <c r="AJ121" s="73"/>
      <c r="AK121" s="73"/>
      <c r="AL121" s="52">
        <f>Z121*'MRS(input_Option1)'!$F$59</f>
        <v>0</v>
      </c>
      <c r="AM121" s="52">
        <f>AA121*'MRS(input_Option1)'!$F$60</f>
        <v>0</v>
      </c>
      <c r="AN121" s="52">
        <f>AB121*'MRS(input_Option1)'!$F$61</f>
        <v>0</v>
      </c>
      <c r="AO121" s="52">
        <f>AC121*'MRS(input_Option1)'!$F$62</f>
        <v>0</v>
      </c>
      <c r="AP121" s="52">
        <f>AD121*'MRS(input_Option1)'!$F$63</f>
        <v>0</v>
      </c>
      <c r="AQ121" s="52">
        <f>AE121*'MRS(input_Option1)'!$F$64</f>
        <v>0</v>
      </c>
      <c r="AR121" s="52">
        <f>AF121*'MRS(input_Option1)'!$F$65</f>
        <v>0</v>
      </c>
      <c r="AS121" s="52">
        <f>ROUND(AG121*'MRS(input_Option1)'!$F$66,2)</f>
        <v>0</v>
      </c>
      <c r="AT121" s="52">
        <f>AH121*'MRS(input_Option1)'!$F$67</f>
        <v>0</v>
      </c>
      <c r="AU121" s="52">
        <f>AI121*'MRS(input_Option1)'!$F$68</f>
        <v>0</v>
      </c>
      <c r="AV121" s="52">
        <f>AJ121*'MRS(input_Option1)'!$F$69</f>
        <v>0</v>
      </c>
      <c r="AW121" s="52">
        <f t="shared" si="23"/>
        <v>0</v>
      </c>
      <c r="AX121" s="95">
        <f t="shared" si="25"/>
        <v>0</v>
      </c>
      <c r="AY121" s="95">
        <f t="shared" si="26"/>
        <v>0</v>
      </c>
      <c r="AZ121" s="95">
        <f t="shared" si="27"/>
        <v>0</v>
      </c>
      <c r="BA121" s="95">
        <f>'MRS(input_RL_Opt1)'!AB19</f>
        <v>0</v>
      </c>
      <c r="BB121" s="95">
        <f>'MRS(input_RL_Opt1)'!AC19</f>
        <v>0</v>
      </c>
    </row>
    <row r="122" spans="1:54" x14ac:dyDescent="0.2">
      <c r="A122" s="57"/>
      <c r="B122" s="58" t="s">
        <v>259</v>
      </c>
      <c r="C122" s="76" t="s">
        <v>26</v>
      </c>
      <c r="D122" s="76" t="s">
        <v>26</v>
      </c>
      <c r="E122" s="76" t="s">
        <v>26</v>
      </c>
      <c r="F122" s="76" t="s">
        <v>26</v>
      </c>
      <c r="G122" s="76" t="s">
        <v>26</v>
      </c>
      <c r="H122" s="76" t="s">
        <v>26</v>
      </c>
      <c r="I122" s="76" t="s">
        <v>26</v>
      </c>
      <c r="J122" s="76" t="s">
        <v>26</v>
      </c>
      <c r="K122" s="76" t="s">
        <v>26</v>
      </c>
      <c r="L122" s="76" t="s">
        <v>26</v>
      </c>
      <c r="M122" s="76" t="s">
        <v>26</v>
      </c>
      <c r="N122" s="76" t="s">
        <v>26</v>
      </c>
      <c r="O122" s="76" t="s">
        <v>26</v>
      </c>
      <c r="P122" s="76" t="s">
        <v>26</v>
      </c>
      <c r="Q122" s="76" t="s">
        <v>26</v>
      </c>
      <c r="R122" s="76" t="s">
        <v>26</v>
      </c>
      <c r="S122" s="76" t="s">
        <v>26</v>
      </c>
      <c r="T122" s="76" t="s">
        <v>26</v>
      </c>
      <c r="U122" s="76" t="s">
        <v>26</v>
      </c>
      <c r="V122" s="76" t="s">
        <v>26</v>
      </c>
      <c r="W122" s="76" t="s">
        <v>26</v>
      </c>
      <c r="X122" s="76" t="s">
        <v>26</v>
      </c>
      <c r="Y122" s="76" t="s">
        <v>26</v>
      </c>
      <c r="Z122" s="76" t="s">
        <v>26</v>
      </c>
      <c r="AA122" s="76" t="s">
        <v>26</v>
      </c>
      <c r="AB122" s="76" t="s">
        <v>26</v>
      </c>
      <c r="AC122" s="76" t="s">
        <v>26</v>
      </c>
      <c r="AD122" s="76" t="s">
        <v>26</v>
      </c>
      <c r="AE122" s="76" t="s">
        <v>26</v>
      </c>
      <c r="AF122" s="76" t="s">
        <v>26</v>
      </c>
      <c r="AG122" s="76" t="s">
        <v>26</v>
      </c>
      <c r="AH122" s="76" t="s">
        <v>26</v>
      </c>
      <c r="AI122" s="76" t="s">
        <v>26</v>
      </c>
      <c r="AJ122" s="76" t="s">
        <v>26</v>
      </c>
      <c r="AK122" s="76" t="s">
        <v>26</v>
      </c>
      <c r="AL122" s="76" t="s">
        <v>26</v>
      </c>
      <c r="AM122" s="76" t="s">
        <v>26</v>
      </c>
      <c r="AN122" s="76" t="s">
        <v>26</v>
      </c>
      <c r="AO122" s="76" t="s">
        <v>26</v>
      </c>
      <c r="AP122" s="76" t="s">
        <v>26</v>
      </c>
      <c r="AQ122" s="76" t="s">
        <v>26</v>
      </c>
      <c r="AR122" s="76" t="s">
        <v>26</v>
      </c>
      <c r="AS122" s="76" t="s">
        <v>26</v>
      </c>
      <c r="AT122" s="76" t="s">
        <v>26</v>
      </c>
      <c r="AU122" s="76" t="s">
        <v>26</v>
      </c>
      <c r="AV122" s="76" t="s">
        <v>26</v>
      </c>
      <c r="AW122" s="76" t="s">
        <v>26</v>
      </c>
      <c r="AX122" s="95">
        <f>SUM(AX109:AX121)</f>
        <v>0</v>
      </c>
      <c r="AY122" s="95">
        <f>SUM(AY109:AY121)</f>
        <v>0</v>
      </c>
      <c r="AZ122" s="95">
        <f>SUM(AZ109:AZ121)</f>
        <v>0</v>
      </c>
      <c r="BA122" s="76" t="s">
        <v>26</v>
      </c>
      <c r="BB122" s="76" t="s">
        <v>26</v>
      </c>
    </row>
    <row r="125" spans="1:54" x14ac:dyDescent="0.2">
      <c r="A125" s="74" t="s">
        <v>335</v>
      </c>
      <c r="D125" s="1"/>
      <c r="E125" s="1"/>
      <c r="F125" s="1"/>
      <c r="G125" s="1"/>
      <c r="H125" s="1"/>
      <c r="I125" s="1"/>
      <c r="J125" s="1"/>
      <c r="K125" s="1"/>
      <c r="L125" s="1"/>
      <c r="M125" s="1"/>
      <c r="N125" s="1"/>
    </row>
    <row r="126" spans="1:54" ht="16" x14ac:dyDescent="0.2">
      <c r="A126" s="213" t="s">
        <v>230</v>
      </c>
      <c r="B126" s="213"/>
      <c r="C126" s="87" t="s">
        <v>336</v>
      </c>
      <c r="D126" s="1"/>
      <c r="E126" s="1"/>
      <c r="F126" s="1"/>
      <c r="G126" s="1"/>
      <c r="H126" s="1"/>
      <c r="I126" s="1"/>
      <c r="J126" s="1"/>
      <c r="K126" s="1"/>
      <c r="L126" s="1"/>
      <c r="M126" s="1"/>
      <c r="N126" s="1"/>
    </row>
    <row r="127" spans="1:54" ht="42.5" x14ac:dyDescent="0.2">
      <c r="A127" s="213" t="s">
        <v>235</v>
      </c>
      <c r="B127" s="213"/>
      <c r="C127" s="50" t="s">
        <v>337</v>
      </c>
      <c r="D127" s="1"/>
      <c r="E127" s="1"/>
      <c r="F127" s="1"/>
      <c r="G127" s="1"/>
      <c r="H127" s="1"/>
      <c r="I127" s="1"/>
      <c r="J127" s="1"/>
      <c r="K127" s="1"/>
      <c r="L127" s="1"/>
      <c r="M127" s="1"/>
      <c r="N127" s="1"/>
    </row>
    <row r="128" spans="1:54" ht="16" x14ac:dyDescent="0.2">
      <c r="A128" s="213" t="s">
        <v>241</v>
      </c>
      <c r="B128" s="213"/>
      <c r="C128" s="49" t="s">
        <v>282</v>
      </c>
      <c r="D128" s="1"/>
      <c r="E128" s="1"/>
      <c r="F128" s="1"/>
      <c r="G128" s="1"/>
      <c r="H128" s="1"/>
      <c r="I128" s="1"/>
      <c r="J128" s="1"/>
      <c r="K128" s="1"/>
      <c r="L128" s="1"/>
      <c r="M128" s="1"/>
      <c r="N128" s="1"/>
    </row>
    <row r="129" spans="1:14" x14ac:dyDescent="0.2">
      <c r="A129" s="214" t="s">
        <v>221</v>
      </c>
      <c r="B129" s="53">
        <f>'MRS(input_RL_Opt1)'!$B$8</f>
        <v>2018</v>
      </c>
      <c r="C129" s="96">
        <f t="shared" ref="C129:C140" si="28">AA8*(44/12)+M36+R61+AF89+AZ110</f>
        <v>0</v>
      </c>
      <c r="D129" s="1"/>
      <c r="E129" s="1"/>
      <c r="F129" s="1"/>
      <c r="G129" s="1"/>
      <c r="H129" s="1"/>
      <c r="I129" s="1"/>
      <c r="J129" s="1"/>
      <c r="K129" s="1"/>
      <c r="L129" s="1"/>
      <c r="M129" s="1"/>
      <c r="N129" s="1"/>
    </row>
    <row r="130" spans="1:14" x14ac:dyDescent="0.2">
      <c r="A130" s="215"/>
      <c r="B130" s="53">
        <f t="shared" ref="B130:B140" si="29">B129+1</f>
        <v>2019</v>
      </c>
      <c r="C130" s="96">
        <f t="shared" si="28"/>
        <v>0</v>
      </c>
      <c r="D130" s="1"/>
      <c r="E130" s="1"/>
      <c r="F130" s="1"/>
      <c r="G130" s="1"/>
      <c r="H130" s="1"/>
      <c r="I130" s="1"/>
      <c r="J130" s="1"/>
      <c r="K130" s="1"/>
      <c r="L130" s="1"/>
      <c r="M130" s="1"/>
      <c r="N130" s="1"/>
    </row>
    <row r="131" spans="1:14" x14ac:dyDescent="0.2">
      <c r="A131" s="215"/>
      <c r="B131" s="53">
        <f t="shared" si="29"/>
        <v>2020</v>
      </c>
      <c r="C131" s="96">
        <f t="shared" si="28"/>
        <v>0</v>
      </c>
      <c r="D131" s="1"/>
      <c r="E131" s="1"/>
      <c r="F131" s="1"/>
      <c r="G131" s="1"/>
      <c r="H131" s="1"/>
      <c r="I131" s="1"/>
      <c r="J131" s="1"/>
      <c r="K131" s="1"/>
      <c r="L131" s="1"/>
      <c r="M131" s="1"/>
      <c r="N131" s="1"/>
    </row>
    <row r="132" spans="1:14" x14ac:dyDescent="0.2">
      <c r="A132" s="215"/>
      <c r="B132" s="53">
        <f t="shared" si="29"/>
        <v>2021</v>
      </c>
      <c r="C132" s="96">
        <f t="shared" si="28"/>
        <v>0</v>
      </c>
      <c r="D132" s="1"/>
      <c r="E132" s="1"/>
      <c r="F132" s="1"/>
      <c r="G132" s="1"/>
      <c r="H132" s="1"/>
      <c r="I132" s="1"/>
      <c r="J132" s="1"/>
      <c r="K132" s="1"/>
      <c r="L132" s="1"/>
      <c r="M132" s="1"/>
      <c r="N132" s="1"/>
    </row>
    <row r="133" spans="1:14" x14ac:dyDescent="0.2">
      <c r="A133" s="215"/>
      <c r="B133" s="53">
        <f t="shared" si="29"/>
        <v>2022</v>
      </c>
      <c r="C133" s="96">
        <f t="shared" si="28"/>
        <v>0</v>
      </c>
      <c r="D133" s="1"/>
      <c r="E133" s="1"/>
      <c r="F133" s="1"/>
      <c r="G133" s="1"/>
      <c r="H133" s="1"/>
      <c r="I133" s="1"/>
      <c r="J133" s="1"/>
      <c r="K133" s="1"/>
      <c r="L133" s="1"/>
      <c r="M133" s="1"/>
      <c r="N133" s="1"/>
    </row>
    <row r="134" spans="1:14" x14ac:dyDescent="0.2">
      <c r="A134" s="215"/>
      <c r="B134" s="53">
        <f t="shared" si="29"/>
        <v>2023</v>
      </c>
      <c r="C134" s="96">
        <f t="shared" si="28"/>
        <v>0</v>
      </c>
      <c r="D134" s="1"/>
      <c r="E134" s="1"/>
      <c r="F134" s="1"/>
      <c r="G134" s="1"/>
      <c r="H134" s="1"/>
      <c r="I134" s="1"/>
      <c r="J134" s="1"/>
      <c r="K134" s="1"/>
      <c r="L134" s="1"/>
      <c r="M134" s="1"/>
      <c r="N134" s="1"/>
    </row>
    <row r="135" spans="1:14" x14ac:dyDescent="0.2">
      <c r="A135" s="215"/>
      <c r="B135" s="53">
        <f t="shared" si="29"/>
        <v>2024</v>
      </c>
      <c r="C135" s="96">
        <f t="shared" si="28"/>
        <v>0</v>
      </c>
      <c r="D135" s="1"/>
      <c r="E135" s="1"/>
      <c r="F135" s="1"/>
      <c r="G135" s="1"/>
      <c r="H135" s="1"/>
      <c r="I135" s="1"/>
      <c r="J135" s="1"/>
      <c r="K135" s="1"/>
      <c r="L135" s="1"/>
      <c r="M135" s="1"/>
      <c r="N135" s="1"/>
    </row>
    <row r="136" spans="1:14" x14ac:dyDescent="0.2">
      <c r="A136" s="215"/>
      <c r="B136" s="53">
        <f t="shared" si="29"/>
        <v>2025</v>
      </c>
      <c r="C136" s="96">
        <f t="shared" si="28"/>
        <v>0</v>
      </c>
      <c r="D136" s="1"/>
      <c r="E136" s="1"/>
      <c r="F136" s="1"/>
      <c r="G136" s="1"/>
      <c r="H136" s="1"/>
      <c r="I136" s="1"/>
      <c r="J136" s="1"/>
      <c r="K136" s="1"/>
      <c r="L136" s="1"/>
      <c r="M136" s="1"/>
      <c r="N136" s="1"/>
    </row>
    <row r="137" spans="1:14" x14ac:dyDescent="0.2">
      <c r="A137" s="215"/>
      <c r="B137" s="53">
        <f t="shared" si="29"/>
        <v>2026</v>
      </c>
      <c r="C137" s="96">
        <f t="shared" si="28"/>
        <v>0</v>
      </c>
      <c r="D137" s="1"/>
      <c r="E137" s="1"/>
      <c r="F137" s="1"/>
      <c r="G137" s="1"/>
      <c r="H137" s="1"/>
      <c r="I137" s="1"/>
      <c r="J137" s="1"/>
      <c r="K137" s="1"/>
      <c r="L137" s="1"/>
      <c r="M137" s="1"/>
      <c r="N137" s="1"/>
    </row>
    <row r="138" spans="1:14" x14ac:dyDescent="0.2">
      <c r="A138" s="215"/>
      <c r="B138" s="53">
        <f t="shared" si="29"/>
        <v>2027</v>
      </c>
      <c r="C138" s="96">
        <f t="shared" si="28"/>
        <v>0</v>
      </c>
      <c r="D138" s="1"/>
      <c r="E138" s="1"/>
      <c r="F138" s="1"/>
      <c r="G138" s="1"/>
      <c r="H138" s="1"/>
      <c r="I138" s="1"/>
      <c r="J138" s="1"/>
      <c r="K138" s="1"/>
      <c r="L138" s="1"/>
      <c r="M138" s="1"/>
      <c r="N138" s="1"/>
    </row>
    <row r="139" spans="1:14" x14ac:dyDescent="0.2">
      <c r="A139" s="215"/>
      <c r="B139" s="53">
        <f t="shared" si="29"/>
        <v>2028</v>
      </c>
      <c r="C139" s="96">
        <f t="shared" si="28"/>
        <v>0</v>
      </c>
      <c r="D139" s="1"/>
      <c r="E139" s="1"/>
      <c r="F139" s="1"/>
      <c r="G139" s="1"/>
      <c r="H139" s="1"/>
      <c r="I139" s="1"/>
      <c r="J139" s="1"/>
      <c r="K139" s="1"/>
      <c r="L139" s="1"/>
      <c r="M139" s="1"/>
      <c r="N139" s="1"/>
    </row>
    <row r="140" spans="1:14" x14ac:dyDescent="0.2">
      <c r="A140" s="216"/>
      <c r="B140" s="53">
        <f t="shared" si="29"/>
        <v>2029</v>
      </c>
      <c r="C140" s="96">
        <f t="shared" si="28"/>
        <v>0</v>
      </c>
      <c r="D140" s="1"/>
      <c r="E140" s="1"/>
      <c r="F140" s="1"/>
      <c r="G140" s="1"/>
      <c r="H140" s="1"/>
      <c r="I140" s="1"/>
      <c r="J140" s="1"/>
      <c r="K140" s="1"/>
      <c r="L140" s="1"/>
      <c r="M140" s="1"/>
      <c r="N140" s="1"/>
    </row>
    <row r="141" spans="1:14" x14ac:dyDescent="0.2">
      <c r="A141" s="57"/>
      <c r="B141" s="58" t="s">
        <v>259</v>
      </c>
      <c r="C141" s="96">
        <f>SUM(C129:C140)</f>
        <v>0</v>
      </c>
      <c r="D141" s="1"/>
      <c r="E141" s="1"/>
      <c r="F141" s="1"/>
      <c r="G141" s="1"/>
      <c r="H141" s="1"/>
      <c r="I141" s="1"/>
      <c r="J141" s="1"/>
      <c r="K141" s="1"/>
      <c r="L141" s="1"/>
      <c r="M141" s="1"/>
      <c r="N141" s="1"/>
    </row>
  </sheetData>
  <sheetProtection formatCells="0" formatRows="0"/>
  <mergeCells count="190">
    <mergeCell ref="A126:B126"/>
    <mergeCell ref="A127:B127"/>
    <mergeCell ref="A128:B128"/>
    <mergeCell ref="A129:A140"/>
    <mergeCell ref="A107:B107"/>
    <mergeCell ref="C107:N107"/>
    <mergeCell ref="O107:Y107"/>
    <mergeCell ref="Z107:AK107"/>
    <mergeCell ref="A110:A121"/>
    <mergeCell ref="AL107:AW107"/>
    <mergeCell ref="A108:B108"/>
    <mergeCell ref="AL105:AW105"/>
    <mergeCell ref="A106:B106"/>
    <mergeCell ref="C106:N106"/>
    <mergeCell ref="O106:Y106"/>
    <mergeCell ref="Z106:AK106"/>
    <mergeCell ref="AL106:AW106"/>
    <mergeCell ref="A88:B88"/>
    <mergeCell ref="A89:A100"/>
    <mergeCell ref="A105:B105"/>
    <mergeCell ref="C105:N105"/>
    <mergeCell ref="O105:Y105"/>
    <mergeCell ref="Z105:AK105"/>
    <mergeCell ref="U86:V86"/>
    <mergeCell ref="W86:X86"/>
    <mergeCell ref="A87:B87"/>
    <mergeCell ref="G87:I87"/>
    <mergeCell ref="J87:L87"/>
    <mergeCell ref="M87:O87"/>
    <mergeCell ref="P87:R87"/>
    <mergeCell ref="A86:B86"/>
    <mergeCell ref="C86:D86"/>
    <mergeCell ref="E86:F86"/>
    <mergeCell ref="G86:L86"/>
    <mergeCell ref="M86:R86"/>
    <mergeCell ref="S86:T86"/>
    <mergeCell ref="U84:V84"/>
    <mergeCell ref="W84:X84"/>
    <mergeCell ref="A85:B85"/>
    <mergeCell ref="C85:D85"/>
    <mergeCell ref="E85:F85"/>
    <mergeCell ref="G85:L85"/>
    <mergeCell ref="M85:R85"/>
    <mergeCell ref="S85:T85"/>
    <mergeCell ref="U85:V85"/>
    <mergeCell ref="W85:X85"/>
    <mergeCell ref="A80:B80"/>
    <mergeCell ref="A81:B81"/>
    <mergeCell ref="A84:B84"/>
    <mergeCell ref="C84:D84"/>
    <mergeCell ref="E84:F84"/>
    <mergeCell ref="G84:L84"/>
    <mergeCell ref="M84:R84"/>
    <mergeCell ref="S84:T84"/>
    <mergeCell ref="A79:B79"/>
    <mergeCell ref="C79:D79"/>
    <mergeCell ref="E79:F79"/>
    <mergeCell ref="G79:I79"/>
    <mergeCell ref="J79:L79"/>
    <mergeCell ref="M79:O79"/>
    <mergeCell ref="A78:B78"/>
    <mergeCell ref="C78:D78"/>
    <mergeCell ref="E78:F78"/>
    <mergeCell ref="G78:I78"/>
    <mergeCell ref="J78:L78"/>
    <mergeCell ref="M78:O78"/>
    <mergeCell ref="P78:R78"/>
    <mergeCell ref="S78:U78"/>
    <mergeCell ref="P79:R79"/>
    <mergeCell ref="S79:U79"/>
    <mergeCell ref="R73:S73"/>
    <mergeCell ref="A77:B77"/>
    <mergeCell ref="C77:D77"/>
    <mergeCell ref="E77:F77"/>
    <mergeCell ref="G77:I77"/>
    <mergeCell ref="J77:L77"/>
    <mergeCell ref="M77:O77"/>
    <mergeCell ref="P77:R77"/>
    <mergeCell ref="S77:U77"/>
    <mergeCell ref="R65:S65"/>
    <mergeCell ref="R66:S66"/>
    <mergeCell ref="R67:S67"/>
    <mergeCell ref="R68:S68"/>
    <mergeCell ref="R69:S69"/>
    <mergeCell ref="R70:S70"/>
    <mergeCell ref="A60:B60"/>
    <mergeCell ref="C60:G60"/>
    <mergeCell ref="H60:L60"/>
    <mergeCell ref="M60:Q60"/>
    <mergeCell ref="R60:S60"/>
    <mergeCell ref="A61:A72"/>
    <mergeCell ref="R61:S61"/>
    <mergeCell ref="R62:S62"/>
    <mergeCell ref="R63:S63"/>
    <mergeCell ref="R64:S64"/>
    <mergeCell ref="R71:S71"/>
    <mergeCell ref="R72:S72"/>
    <mergeCell ref="A58:B58"/>
    <mergeCell ref="C58:G58"/>
    <mergeCell ref="H58:L58"/>
    <mergeCell ref="M58:Q58"/>
    <mergeCell ref="R58:S58"/>
    <mergeCell ref="A59:B59"/>
    <mergeCell ref="C59:G59"/>
    <mergeCell ref="H59:L59"/>
    <mergeCell ref="M59:Q59"/>
    <mergeCell ref="R59:S59"/>
    <mergeCell ref="P54:P57"/>
    <mergeCell ref="Q54:Q57"/>
    <mergeCell ref="R54:S57"/>
    <mergeCell ref="C55:G55"/>
    <mergeCell ref="C56:G56"/>
    <mergeCell ref="H56:L56"/>
    <mergeCell ref="A52:B52"/>
    <mergeCell ref="R52:S52"/>
    <mergeCell ref="A53:B53"/>
    <mergeCell ref="R53:S53"/>
    <mergeCell ref="A54:B57"/>
    <mergeCell ref="C54:G54"/>
    <mergeCell ref="H54:L54"/>
    <mergeCell ref="M54:M57"/>
    <mergeCell ref="N54:N57"/>
    <mergeCell ref="O54:O57"/>
    <mergeCell ref="M43:N43"/>
    <mergeCell ref="M44:N44"/>
    <mergeCell ref="M45:N45"/>
    <mergeCell ref="M46:N46"/>
    <mergeCell ref="M47:N47"/>
    <mergeCell ref="M48:N48"/>
    <mergeCell ref="A35:B35"/>
    <mergeCell ref="M35:N35"/>
    <mergeCell ref="A36:A47"/>
    <mergeCell ref="M36:N36"/>
    <mergeCell ref="M37:N37"/>
    <mergeCell ref="M38:N38"/>
    <mergeCell ref="M39:N39"/>
    <mergeCell ref="M40:N40"/>
    <mergeCell ref="M41:N41"/>
    <mergeCell ref="M42:N42"/>
    <mergeCell ref="A33:B33"/>
    <mergeCell ref="C33:G33"/>
    <mergeCell ref="H33:L33"/>
    <mergeCell ref="M33:N33"/>
    <mergeCell ref="A34:B34"/>
    <mergeCell ref="C34:G34"/>
    <mergeCell ref="H34:L34"/>
    <mergeCell ref="M34:N34"/>
    <mergeCell ref="A27:B27"/>
    <mergeCell ref="A28:B28"/>
    <mergeCell ref="A32:B32"/>
    <mergeCell ref="C32:G32"/>
    <mergeCell ref="H32:L32"/>
    <mergeCell ref="M32:N32"/>
    <mergeCell ref="A25:B25"/>
    <mergeCell ref="C25:G25"/>
    <mergeCell ref="H25:L25"/>
    <mergeCell ref="A26:B26"/>
    <mergeCell ref="C26:G26"/>
    <mergeCell ref="H26:L26"/>
    <mergeCell ref="AA17:AB17"/>
    <mergeCell ref="AA18:AB18"/>
    <mergeCell ref="AA19:AB19"/>
    <mergeCell ref="AA20:AB20"/>
    <mergeCell ref="A24:B24"/>
    <mergeCell ref="C24:G24"/>
    <mergeCell ref="H24:L24"/>
    <mergeCell ref="A8:A19"/>
    <mergeCell ref="AA8:AB8"/>
    <mergeCell ref="AA9:AB9"/>
    <mergeCell ref="AA10:AB10"/>
    <mergeCell ref="AA11:AB11"/>
    <mergeCell ref="AA12:AB12"/>
    <mergeCell ref="AA13:AB13"/>
    <mergeCell ref="AA14:AB14"/>
    <mergeCell ref="AA15:AB15"/>
    <mergeCell ref="AA16:AB16"/>
    <mergeCell ref="A6:B6"/>
    <mergeCell ref="C6:N6"/>
    <mergeCell ref="O6:Z6"/>
    <mergeCell ref="AA6:AB6"/>
    <mergeCell ref="A7:B7"/>
    <mergeCell ref="AA7:AB7"/>
    <mergeCell ref="A4:B4"/>
    <mergeCell ref="C4:N4"/>
    <mergeCell ref="O4:Z4"/>
    <mergeCell ref="AA4:AB4"/>
    <mergeCell ref="A5:B5"/>
    <mergeCell ref="C5:N5"/>
    <mergeCell ref="O5:Z5"/>
    <mergeCell ref="AA5:AB5"/>
  </mergeCells>
  <phoneticPr fontId="9"/>
  <dataValidations count="1">
    <dataValidation type="list" allowBlank="1" showInputMessage="1" showErrorMessage="1" prompt="select fuel type" sqref="C53:G53" xr:uid="{82C889A0-0E17-470C-9BFC-84EC57524FDC}">
      <formula1>$C$27:$G$27</formula1>
    </dataValidation>
  </dataValidations>
  <pageMargins left="0.7" right="0.7" top="0.75" bottom="0.75" header="0.3" footer="0.3"/>
  <pageSetup scale="1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80114-20EE-4DD4-91BD-8040CC2B5436}">
  <sheetPr>
    <tabColor theme="5" tint="0.39997558519241921"/>
  </sheetPr>
  <dimension ref="A1:L110"/>
  <sheetViews>
    <sheetView view="pageBreakPreview" zoomScale="70" zoomScaleNormal="85" zoomScaleSheetLayoutView="70" workbookViewId="0"/>
  </sheetViews>
  <sheetFormatPr defaultColWidth="9" defaultRowHeight="14" x14ac:dyDescent="0.2"/>
  <cols>
    <col min="1" max="3" width="3.6328125" style="10" customWidth="1"/>
    <col min="4" max="4" width="53.453125" style="10" customWidth="1"/>
    <col min="5" max="5" width="25.08984375" style="10" bestFit="1" customWidth="1"/>
    <col min="6" max="6" width="15.453125" style="10" customWidth="1"/>
    <col min="7" max="7" width="17.453125" style="10" customWidth="1"/>
    <col min="8" max="8" width="11" style="97" customWidth="1"/>
    <col min="9" max="16384" width="9" style="10"/>
  </cols>
  <sheetData>
    <row r="1" spans="1:8" x14ac:dyDescent="0.2">
      <c r="H1" s="3" t="str">
        <f>'MPS(input_Option1)'!K1</f>
        <v>Monitoring Spreadsheet: JCM_KH_AM004_ver01.1</v>
      </c>
    </row>
    <row r="2" spans="1:8" ht="18" customHeight="1" x14ac:dyDescent="0.2">
      <c r="H2" s="3" t="str">
        <f>'MPS(input_Option1)'!K2</f>
        <v>Reference Number: KH005</v>
      </c>
    </row>
    <row r="3" spans="1:8" ht="15.5" x14ac:dyDescent="0.2">
      <c r="A3" s="4" t="s">
        <v>431</v>
      </c>
      <c r="B3" s="4"/>
      <c r="C3" s="4"/>
      <c r="D3" s="4"/>
      <c r="E3" s="4"/>
      <c r="F3" s="4"/>
      <c r="G3" s="4"/>
      <c r="H3" s="4"/>
    </row>
    <row r="4" spans="1:8" ht="11.25" customHeight="1" x14ac:dyDescent="0.2"/>
    <row r="5" spans="1:8" ht="18.75" customHeight="1" thickBot="1" x14ac:dyDescent="0.25">
      <c r="A5" s="98" t="s">
        <v>339</v>
      </c>
      <c r="B5" s="99"/>
      <c r="C5" s="99"/>
      <c r="D5" s="100"/>
      <c r="E5" s="101" t="s">
        <v>340</v>
      </c>
      <c r="F5" s="102" t="s">
        <v>341</v>
      </c>
      <c r="G5" s="101" t="s">
        <v>17</v>
      </c>
      <c r="H5" s="103" t="s">
        <v>342</v>
      </c>
    </row>
    <row r="6" spans="1:8" s="16" customFormat="1" ht="18.75" customHeight="1" thickBot="1" x14ac:dyDescent="0.25">
      <c r="A6" s="104"/>
      <c r="B6" s="105" t="s">
        <v>343</v>
      </c>
      <c r="C6" s="105"/>
      <c r="D6" s="105"/>
      <c r="E6" s="106"/>
      <c r="F6" s="107">
        <f>SUM(F8:F19)</f>
        <v>0</v>
      </c>
      <c r="G6" s="108" t="s">
        <v>344</v>
      </c>
      <c r="H6" s="109" t="s">
        <v>345</v>
      </c>
    </row>
    <row r="7" spans="1:8" s="16" customFormat="1" ht="18.75" customHeight="1" x14ac:dyDescent="0.2">
      <c r="A7" s="110"/>
      <c r="B7" s="111"/>
      <c r="C7" s="112" t="s">
        <v>346</v>
      </c>
      <c r="D7" s="113"/>
      <c r="E7" s="114"/>
      <c r="F7" s="115"/>
      <c r="G7" s="116"/>
      <c r="H7" s="117"/>
    </row>
    <row r="8" spans="1:8" s="16" customFormat="1" ht="18.75" customHeight="1" x14ac:dyDescent="0.2">
      <c r="A8" s="110"/>
      <c r="B8" s="118"/>
      <c r="C8" s="118"/>
      <c r="D8" s="119">
        <f>'MRS(input_RL_Opt1)'!$B8</f>
        <v>2018</v>
      </c>
      <c r="E8" s="120"/>
      <c r="F8" s="121">
        <f>(F23-(F38+F51+F64+F77))*(1-F$90*0.01)</f>
        <v>0</v>
      </c>
      <c r="G8" s="122" t="s">
        <v>344</v>
      </c>
      <c r="H8" s="109" t="s">
        <v>347</v>
      </c>
    </row>
    <row r="9" spans="1:8" s="16" customFormat="1" ht="18.75" customHeight="1" x14ac:dyDescent="0.2">
      <c r="A9" s="110"/>
      <c r="B9" s="118"/>
      <c r="C9" s="118"/>
      <c r="D9" s="119">
        <f>D8+1</f>
        <v>2019</v>
      </c>
      <c r="E9" s="120"/>
      <c r="F9" s="121">
        <f>(F24-(F39+F52+F65+F78))*(1-F$90*0.01)</f>
        <v>0</v>
      </c>
      <c r="G9" s="122" t="s">
        <v>344</v>
      </c>
      <c r="H9" s="109" t="s">
        <v>347</v>
      </c>
    </row>
    <row r="10" spans="1:8" s="16" customFormat="1" ht="18.75" customHeight="1" x14ac:dyDescent="0.2">
      <c r="A10" s="110"/>
      <c r="B10" s="118"/>
      <c r="C10" s="118"/>
      <c r="D10" s="119">
        <f t="shared" ref="D10:D19" si="0">D9+1</f>
        <v>2020</v>
      </c>
      <c r="E10" s="120"/>
      <c r="F10" s="121">
        <f t="shared" ref="F10:F19" si="1">(F25-(F40+F53+F66+F79))*(1-F$90*0.01)</f>
        <v>0</v>
      </c>
      <c r="G10" s="122" t="s">
        <v>344</v>
      </c>
      <c r="H10" s="109" t="s">
        <v>347</v>
      </c>
    </row>
    <row r="11" spans="1:8" s="16" customFormat="1" ht="18.75" customHeight="1" x14ac:dyDescent="0.2">
      <c r="A11" s="110"/>
      <c r="B11" s="118"/>
      <c r="C11" s="118"/>
      <c r="D11" s="119">
        <f t="shared" si="0"/>
        <v>2021</v>
      </c>
      <c r="E11" s="120"/>
      <c r="F11" s="121">
        <f t="shared" si="1"/>
        <v>0</v>
      </c>
      <c r="G11" s="122" t="s">
        <v>344</v>
      </c>
      <c r="H11" s="109" t="s">
        <v>347</v>
      </c>
    </row>
    <row r="12" spans="1:8" s="16" customFormat="1" ht="18.75" customHeight="1" x14ac:dyDescent="0.2">
      <c r="A12" s="110"/>
      <c r="B12" s="118"/>
      <c r="C12" s="118"/>
      <c r="D12" s="119">
        <f t="shared" si="0"/>
        <v>2022</v>
      </c>
      <c r="E12" s="120"/>
      <c r="F12" s="121">
        <f t="shared" si="1"/>
        <v>0</v>
      </c>
      <c r="G12" s="122" t="s">
        <v>344</v>
      </c>
      <c r="H12" s="109" t="s">
        <v>347</v>
      </c>
    </row>
    <row r="13" spans="1:8" s="16" customFormat="1" ht="18.75" customHeight="1" x14ac:dyDescent="0.2">
      <c r="A13" s="110"/>
      <c r="B13" s="118"/>
      <c r="C13" s="118"/>
      <c r="D13" s="119">
        <f t="shared" si="0"/>
        <v>2023</v>
      </c>
      <c r="E13" s="120"/>
      <c r="F13" s="121">
        <f t="shared" si="1"/>
        <v>0</v>
      </c>
      <c r="G13" s="122" t="s">
        <v>344</v>
      </c>
      <c r="H13" s="109" t="s">
        <v>347</v>
      </c>
    </row>
    <row r="14" spans="1:8" s="16" customFormat="1" ht="18.75" customHeight="1" x14ac:dyDescent="0.2">
      <c r="A14" s="110"/>
      <c r="B14" s="118"/>
      <c r="C14" s="118"/>
      <c r="D14" s="119">
        <f t="shared" si="0"/>
        <v>2024</v>
      </c>
      <c r="E14" s="120"/>
      <c r="F14" s="121">
        <f t="shared" si="1"/>
        <v>0</v>
      </c>
      <c r="G14" s="122" t="s">
        <v>344</v>
      </c>
      <c r="H14" s="109" t="s">
        <v>347</v>
      </c>
    </row>
    <row r="15" spans="1:8" s="16" customFormat="1" ht="18.75" customHeight="1" x14ac:dyDescent="0.2">
      <c r="A15" s="110"/>
      <c r="B15" s="118"/>
      <c r="C15" s="118"/>
      <c r="D15" s="119">
        <f t="shared" si="0"/>
        <v>2025</v>
      </c>
      <c r="E15" s="120"/>
      <c r="F15" s="121">
        <f t="shared" si="1"/>
        <v>0</v>
      </c>
      <c r="G15" s="122" t="s">
        <v>344</v>
      </c>
      <c r="H15" s="109" t="s">
        <v>347</v>
      </c>
    </row>
    <row r="16" spans="1:8" s="16" customFormat="1" ht="18.75" customHeight="1" x14ac:dyDescent="0.2">
      <c r="A16" s="110"/>
      <c r="B16" s="118"/>
      <c r="C16" s="118"/>
      <c r="D16" s="119">
        <f t="shared" si="0"/>
        <v>2026</v>
      </c>
      <c r="E16" s="120"/>
      <c r="F16" s="121">
        <f t="shared" si="1"/>
        <v>0</v>
      </c>
      <c r="G16" s="122" t="s">
        <v>344</v>
      </c>
      <c r="H16" s="109" t="s">
        <v>347</v>
      </c>
    </row>
    <row r="17" spans="1:8" s="16" customFormat="1" ht="18.75" customHeight="1" x14ac:dyDescent="0.2">
      <c r="A17" s="110"/>
      <c r="B17" s="118"/>
      <c r="C17" s="118"/>
      <c r="D17" s="119">
        <f t="shared" si="0"/>
        <v>2027</v>
      </c>
      <c r="E17" s="120"/>
      <c r="F17" s="121">
        <f t="shared" si="1"/>
        <v>0</v>
      </c>
      <c r="G17" s="122" t="s">
        <v>344</v>
      </c>
      <c r="H17" s="109" t="s">
        <v>347</v>
      </c>
    </row>
    <row r="18" spans="1:8" s="16" customFormat="1" ht="18.75" customHeight="1" x14ac:dyDescent="0.2">
      <c r="A18" s="110"/>
      <c r="B18" s="118"/>
      <c r="C18" s="118"/>
      <c r="D18" s="119">
        <f t="shared" si="0"/>
        <v>2028</v>
      </c>
      <c r="E18" s="120"/>
      <c r="F18" s="121">
        <f t="shared" si="1"/>
        <v>0</v>
      </c>
      <c r="G18" s="122" t="s">
        <v>344</v>
      </c>
      <c r="H18" s="109" t="s">
        <v>347</v>
      </c>
    </row>
    <row r="19" spans="1:8" s="16" customFormat="1" ht="18.75" customHeight="1" x14ac:dyDescent="0.2">
      <c r="A19" s="110"/>
      <c r="B19" s="118"/>
      <c r="C19" s="118"/>
      <c r="D19" s="119">
        <f t="shared" si="0"/>
        <v>2029</v>
      </c>
      <c r="E19" s="120"/>
      <c r="F19" s="121">
        <f t="shared" si="1"/>
        <v>0</v>
      </c>
      <c r="G19" s="122" t="s">
        <v>344</v>
      </c>
      <c r="H19" s="109" t="s">
        <v>347</v>
      </c>
    </row>
    <row r="20" spans="1:8" ht="18.75" customHeight="1" thickBot="1" x14ac:dyDescent="0.25">
      <c r="A20" s="98" t="s">
        <v>348</v>
      </c>
      <c r="B20" s="100"/>
      <c r="C20" s="99"/>
      <c r="D20" s="101"/>
      <c r="E20" s="101"/>
      <c r="F20" s="123"/>
      <c r="G20" s="100"/>
      <c r="H20" s="103"/>
    </row>
    <row r="21" spans="1:8" s="16" customFormat="1" ht="18.75" customHeight="1" thickBot="1" x14ac:dyDescent="0.25">
      <c r="A21" s="110"/>
      <c r="B21" s="124" t="s">
        <v>349</v>
      </c>
      <c r="C21" s="124"/>
      <c r="D21" s="124"/>
      <c r="E21" s="106"/>
      <c r="F21" s="107">
        <f>SUM(F23:F34)</f>
        <v>0</v>
      </c>
      <c r="G21" s="108" t="s">
        <v>344</v>
      </c>
      <c r="H21" s="109" t="s">
        <v>350</v>
      </c>
    </row>
    <row r="22" spans="1:8" s="16" customFormat="1" ht="18.75" customHeight="1" x14ac:dyDescent="0.2">
      <c r="A22" s="110"/>
      <c r="B22" s="111"/>
      <c r="C22" s="112" t="s">
        <v>351</v>
      </c>
      <c r="D22" s="113"/>
      <c r="E22" s="114"/>
      <c r="F22" s="115"/>
      <c r="G22" s="116"/>
      <c r="H22" s="117"/>
    </row>
    <row r="23" spans="1:8" ht="18.75" customHeight="1" x14ac:dyDescent="0.2">
      <c r="A23" s="125"/>
      <c r="B23" s="126"/>
      <c r="C23" s="126"/>
      <c r="D23" s="127">
        <f>D8</f>
        <v>2018</v>
      </c>
      <c r="E23" s="128" t="s">
        <v>352</v>
      </c>
      <c r="F23" s="129">
        <f>'MRS(input_RL_Opt1)'!AA8</f>
        <v>0</v>
      </c>
      <c r="G23" s="43" t="s">
        <v>353</v>
      </c>
      <c r="H23" s="130" t="s">
        <v>354</v>
      </c>
    </row>
    <row r="24" spans="1:8" ht="18.75" customHeight="1" x14ac:dyDescent="0.2">
      <c r="A24" s="125"/>
      <c r="B24" s="126"/>
      <c r="C24" s="126"/>
      <c r="D24" s="127">
        <f t="shared" ref="D24:D34" si="2">D9</f>
        <v>2019</v>
      </c>
      <c r="E24" s="128" t="s">
        <v>352</v>
      </c>
      <c r="F24" s="129">
        <f>'MRS(input_RL_Opt1)'!AA9</f>
        <v>0</v>
      </c>
      <c r="G24" s="43" t="s">
        <v>353</v>
      </c>
      <c r="H24" s="130" t="s">
        <v>354</v>
      </c>
    </row>
    <row r="25" spans="1:8" ht="18.75" customHeight="1" x14ac:dyDescent="0.2">
      <c r="A25" s="125"/>
      <c r="B25" s="126"/>
      <c r="C25" s="126"/>
      <c r="D25" s="127">
        <f t="shared" si="2"/>
        <v>2020</v>
      </c>
      <c r="E25" s="128" t="s">
        <v>352</v>
      </c>
      <c r="F25" s="129">
        <f>'MRS(input_RL_Opt1)'!AA10</f>
        <v>0</v>
      </c>
      <c r="G25" s="43" t="s">
        <v>353</v>
      </c>
      <c r="H25" s="130" t="s">
        <v>354</v>
      </c>
    </row>
    <row r="26" spans="1:8" ht="18.75" customHeight="1" x14ac:dyDescent="0.2">
      <c r="A26" s="125"/>
      <c r="B26" s="126"/>
      <c r="C26" s="126"/>
      <c r="D26" s="127">
        <f t="shared" si="2"/>
        <v>2021</v>
      </c>
      <c r="E26" s="128" t="s">
        <v>352</v>
      </c>
      <c r="F26" s="129">
        <f>'MRS(input_RL_Opt1)'!AA11</f>
        <v>0</v>
      </c>
      <c r="G26" s="43" t="s">
        <v>353</v>
      </c>
      <c r="H26" s="130" t="s">
        <v>354</v>
      </c>
    </row>
    <row r="27" spans="1:8" ht="18.75" customHeight="1" x14ac:dyDescent="0.2">
      <c r="A27" s="125"/>
      <c r="B27" s="126"/>
      <c r="C27" s="126"/>
      <c r="D27" s="127">
        <f t="shared" si="2"/>
        <v>2022</v>
      </c>
      <c r="E27" s="128" t="s">
        <v>352</v>
      </c>
      <c r="F27" s="129">
        <f>'MRS(input_RL_Opt1)'!AA12</f>
        <v>0</v>
      </c>
      <c r="G27" s="43" t="s">
        <v>353</v>
      </c>
      <c r="H27" s="130" t="s">
        <v>354</v>
      </c>
    </row>
    <row r="28" spans="1:8" ht="18.75" customHeight="1" x14ac:dyDescent="0.2">
      <c r="A28" s="125"/>
      <c r="B28" s="126"/>
      <c r="C28" s="126"/>
      <c r="D28" s="127">
        <f t="shared" si="2"/>
        <v>2023</v>
      </c>
      <c r="E28" s="128" t="s">
        <v>352</v>
      </c>
      <c r="F28" s="129">
        <f>'MRS(input_RL_Opt1)'!AA13</f>
        <v>0</v>
      </c>
      <c r="G28" s="43" t="s">
        <v>353</v>
      </c>
      <c r="H28" s="130" t="s">
        <v>354</v>
      </c>
    </row>
    <row r="29" spans="1:8" ht="18.75" customHeight="1" x14ac:dyDescent="0.2">
      <c r="A29" s="125"/>
      <c r="B29" s="126"/>
      <c r="C29" s="126"/>
      <c r="D29" s="127">
        <f t="shared" si="2"/>
        <v>2024</v>
      </c>
      <c r="E29" s="128" t="s">
        <v>352</v>
      </c>
      <c r="F29" s="129">
        <f>'MRS(input_RL_Opt1)'!AA14</f>
        <v>0</v>
      </c>
      <c r="G29" s="43" t="s">
        <v>353</v>
      </c>
      <c r="H29" s="130" t="s">
        <v>354</v>
      </c>
    </row>
    <row r="30" spans="1:8" ht="18.75" customHeight="1" x14ac:dyDescent="0.2">
      <c r="A30" s="125"/>
      <c r="B30" s="126"/>
      <c r="C30" s="126"/>
      <c r="D30" s="127">
        <f t="shared" si="2"/>
        <v>2025</v>
      </c>
      <c r="E30" s="128" t="s">
        <v>352</v>
      </c>
      <c r="F30" s="129">
        <f>'MRS(input_RL_Opt1)'!AA15</f>
        <v>0</v>
      </c>
      <c r="G30" s="43" t="s">
        <v>353</v>
      </c>
      <c r="H30" s="130" t="s">
        <v>354</v>
      </c>
    </row>
    <row r="31" spans="1:8" ht="18.75" customHeight="1" x14ac:dyDescent="0.2">
      <c r="A31" s="125"/>
      <c r="B31" s="126"/>
      <c r="C31" s="126"/>
      <c r="D31" s="127">
        <f t="shared" si="2"/>
        <v>2026</v>
      </c>
      <c r="E31" s="128" t="s">
        <v>352</v>
      </c>
      <c r="F31" s="129">
        <f>'MRS(input_RL_Opt1)'!AA16</f>
        <v>0</v>
      </c>
      <c r="G31" s="43" t="s">
        <v>353</v>
      </c>
      <c r="H31" s="130" t="s">
        <v>354</v>
      </c>
    </row>
    <row r="32" spans="1:8" ht="18.75" customHeight="1" x14ac:dyDescent="0.2">
      <c r="A32" s="125"/>
      <c r="B32" s="126"/>
      <c r="C32" s="126"/>
      <c r="D32" s="127">
        <f t="shared" si="2"/>
        <v>2027</v>
      </c>
      <c r="E32" s="128" t="s">
        <v>352</v>
      </c>
      <c r="F32" s="129">
        <f>'MRS(input_RL_Opt1)'!AA17</f>
        <v>0</v>
      </c>
      <c r="G32" s="43" t="s">
        <v>353</v>
      </c>
      <c r="H32" s="130" t="s">
        <v>354</v>
      </c>
    </row>
    <row r="33" spans="1:8" ht="18.75" customHeight="1" x14ac:dyDescent="0.2">
      <c r="A33" s="125"/>
      <c r="B33" s="126"/>
      <c r="C33" s="126"/>
      <c r="D33" s="127">
        <f t="shared" si="2"/>
        <v>2028</v>
      </c>
      <c r="E33" s="128" t="s">
        <v>352</v>
      </c>
      <c r="F33" s="129">
        <f>'MRS(input_RL_Opt1)'!AA18</f>
        <v>0</v>
      </c>
      <c r="G33" s="43" t="s">
        <v>353</v>
      </c>
      <c r="H33" s="130" t="s">
        <v>354</v>
      </c>
    </row>
    <row r="34" spans="1:8" ht="18.75" customHeight="1" x14ac:dyDescent="0.2">
      <c r="A34" s="125"/>
      <c r="B34" s="126"/>
      <c r="C34" s="126"/>
      <c r="D34" s="127">
        <f t="shared" si="2"/>
        <v>2029</v>
      </c>
      <c r="E34" s="128" t="s">
        <v>352</v>
      </c>
      <c r="F34" s="129">
        <f>'MRS(input_RL_Opt1)'!AA19</f>
        <v>0</v>
      </c>
      <c r="G34" s="43" t="s">
        <v>353</v>
      </c>
      <c r="H34" s="130" t="s">
        <v>354</v>
      </c>
    </row>
    <row r="35" spans="1:8" ht="18.75" customHeight="1" thickBot="1" x14ac:dyDescent="0.25">
      <c r="A35" s="98" t="s">
        <v>355</v>
      </c>
      <c r="B35" s="99"/>
      <c r="C35" s="99"/>
      <c r="D35" s="100"/>
      <c r="E35" s="101"/>
      <c r="F35" s="123"/>
      <c r="G35" s="100"/>
      <c r="H35" s="103"/>
    </row>
    <row r="36" spans="1:8" ht="18.75" customHeight="1" thickBot="1" x14ac:dyDescent="0.25">
      <c r="A36" s="125"/>
      <c r="B36" s="124" t="s">
        <v>356</v>
      </c>
      <c r="C36" s="124"/>
      <c r="D36" s="124"/>
      <c r="E36" s="106"/>
      <c r="F36" s="107">
        <f>SUM(F38:F49)+SUM(F51:F62)+SUM(F64:F75)+SUM(F77:F88)</f>
        <v>0</v>
      </c>
      <c r="G36" s="108" t="s">
        <v>344</v>
      </c>
      <c r="H36" s="109" t="s">
        <v>357</v>
      </c>
    </row>
    <row r="37" spans="1:8" ht="18.75" customHeight="1" x14ac:dyDescent="0.2">
      <c r="A37" s="125"/>
      <c r="B37" s="111"/>
      <c r="C37" s="112" t="s">
        <v>358</v>
      </c>
      <c r="D37" s="113"/>
      <c r="E37" s="114"/>
      <c r="F37" s="115"/>
      <c r="G37" s="116"/>
      <c r="H37" s="117"/>
    </row>
    <row r="38" spans="1:8" ht="18.75" customHeight="1" x14ac:dyDescent="0.2">
      <c r="A38" s="125"/>
      <c r="B38" s="118"/>
      <c r="C38" s="118"/>
      <c r="D38" s="119">
        <f>D23</f>
        <v>2018</v>
      </c>
      <c r="E38" s="120" t="s">
        <v>352</v>
      </c>
      <c r="F38" s="121">
        <f>'MRS(input_PJ_Opt1)'!AA8*(44/12)</f>
        <v>0</v>
      </c>
      <c r="G38" s="108" t="s">
        <v>344</v>
      </c>
      <c r="H38" s="109" t="s">
        <v>359</v>
      </c>
    </row>
    <row r="39" spans="1:8" ht="18.75" customHeight="1" x14ac:dyDescent="0.2">
      <c r="A39" s="125"/>
      <c r="B39" s="118"/>
      <c r="C39" s="118"/>
      <c r="D39" s="119">
        <f t="shared" ref="D39:D49" si="3">D24</f>
        <v>2019</v>
      </c>
      <c r="E39" s="120" t="s">
        <v>352</v>
      </c>
      <c r="F39" s="121">
        <f>'MRS(input_PJ_Opt1)'!AA9*(44/12)</f>
        <v>0</v>
      </c>
      <c r="G39" s="108" t="s">
        <v>344</v>
      </c>
      <c r="H39" s="109" t="s">
        <v>359</v>
      </c>
    </row>
    <row r="40" spans="1:8" ht="18.75" customHeight="1" x14ac:dyDescent="0.2">
      <c r="A40" s="125"/>
      <c r="B40" s="118"/>
      <c r="C40" s="118"/>
      <c r="D40" s="119">
        <f t="shared" si="3"/>
        <v>2020</v>
      </c>
      <c r="E40" s="120" t="s">
        <v>352</v>
      </c>
      <c r="F40" s="121">
        <f>'MRS(input_PJ_Opt1)'!AA10*(44/12)</f>
        <v>0</v>
      </c>
      <c r="G40" s="108" t="s">
        <v>344</v>
      </c>
      <c r="H40" s="109" t="s">
        <v>359</v>
      </c>
    </row>
    <row r="41" spans="1:8" ht="18.75" customHeight="1" x14ac:dyDescent="0.2">
      <c r="A41" s="125"/>
      <c r="B41" s="118"/>
      <c r="C41" s="118"/>
      <c r="D41" s="119">
        <f t="shared" si="3"/>
        <v>2021</v>
      </c>
      <c r="E41" s="120" t="s">
        <v>352</v>
      </c>
      <c r="F41" s="121">
        <f>'MRS(input_PJ_Opt1)'!AA11*(44/12)</f>
        <v>0</v>
      </c>
      <c r="G41" s="108" t="s">
        <v>344</v>
      </c>
      <c r="H41" s="109" t="s">
        <v>359</v>
      </c>
    </row>
    <row r="42" spans="1:8" ht="18.75" customHeight="1" x14ac:dyDescent="0.2">
      <c r="A42" s="125"/>
      <c r="B42" s="118"/>
      <c r="C42" s="118"/>
      <c r="D42" s="119">
        <f t="shared" si="3"/>
        <v>2022</v>
      </c>
      <c r="E42" s="120" t="s">
        <v>352</v>
      </c>
      <c r="F42" s="121">
        <f>'MRS(input_PJ_Opt1)'!AA12*(44/12)</f>
        <v>0</v>
      </c>
      <c r="G42" s="108" t="s">
        <v>344</v>
      </c>
      <c r="H42" s="109" t="s">
        <v>359</v>
      </c>
    </row>
    <row r="43" spans="1:8" ht="18.75" customHeight="1" x14ac:dyDescent="0.2">
      <c r="A43" s="125"/>
      <c r="B43" s="118"/>
      <c r="C43" s="118"/>
      <c r="D43" s="119">
        <f t="shared" si="3"/>
        <v>2023</v>
      </c>
      <c r="E43" s="120" t="s">
        <v>352</v>
      </c>
      <c r="F43" s="121">
        <f>'MRS(input_PJ_Opt1)'!AA13*(44/12)</f>
        <v>0</v>
      </c>
      <c r="G43" s="108" t="s">
        <v>344</v>
      </c>
      <c r="H43" s="109" t="s">
        <v>359</v>
      </c>
    </row>
    <row r="44" spans="1:8" ht="18.75" customHeight="1" x14ac:dyDescent="0.2">
      <c r="A44" s="125"/>
      <c r="B44" s="118"/>
      <c r="C44" s="118"/>
      <c r="D44" s="119">
        <f t="shared" si="3"/>
        <v>2024</v>
      </c>
      <c r="E44" s="120" t="s">
        <v>352</v>
      </c>
      <c r="F44" s="121">
        <f>'MRS(input_PJ_Opt1)'!AA14*(44/12)</f>
        <v>0</v>
      </c>
      <c r="G44" s="108" t="s">
        <v>344</v>
      </c>
      <c r="H44" s="109" t="s">
        <v>359</v>
      </c>
    </row>
    <row r="45" spans="1:8" ht="18.75" customHeight="1" x14ac:dyDescent="0.2">
      <c r="A45" s="125"/>
      <c r="B45" s="118"/>
      <c r="C45" s="118"/>
      <c r="D45" s="119">
        <f t="shared" si="3"/>
        <v>2025</v>
      </c>
      <c r="E45" s="120" t="s">
        <v>352</v>
      </c>
      <c r="F45" s="121">
        <f>'MRS(input_PJ_Opt1)'!AA15*(44/12)</f>
        <v>0</v>
      </c>
      <c r="G45" s="108" t="s">
        <v>344</v>
      </c>
      <c r="H45" s="109" t="s">
        <v>359</v>
      </c>
    </row>
    <row r="46" spans="1:8" ht="18.75" customHeight="1" x14ac:dyDescent="0.2">
      <c r="A46" s="125"/>
      <c r="B46" s="118"/>
      <c r="C46" s="118"/>
      <c r="D46" s="119">
        <f t="shared" si="3"/>
        <v>2026</v>
      </c>
      <c r="E46" s="120" t="s">
        <v>352</v>
      </c>
      <c r="F46" s="121">
        <f>'MRS(input_PJ_Opt1)'!AA16*(44/12)</f>
        <v>0</v>
      </c>
      <c r="G46" s="108" t="s">
        <v>344</v>
      </c>
      <c r="H46" s="109" t="s">
        <v>359</v>
      </c>
    </row>
    <row r="47" spans="1:8" ht="18.75" customHeight="1" x14ac:dyDescent="0.2">
      <c r="A47" s="125"/>
      <c r="B47" s="118"/>
      <c r="C47" s="118"/>
      <c r="D47" s="119">
        <f t="shared" si="3"/>
        <v>2027</v>
      </c>
      <c r="E47" s="120" t="s">
        <v>352</v>
      </c>
      <c r="F47" s="121">
        <f>'MRS(input_PJ_Opt1)'!AA17*(44/12)</f>
        <v>0</v>
      </c>
      <c r="G47" s="108" t="s">
        <v>344</v>
      </c>
      <c r="H47" s="109" t="s">
        <v>359</v>
      </c>
    </row>
    <row r="48" spans="1:8" ht="18.75" customHeight="1" x14ac:dyDescent="0.2">
      <c r="A48" s="125"/>
      <c r="B48" s="118"/>
      <c r="C48" s="118"/>
      <c r="D48" s="119">
        <f t="shared" si="3"/>
        <v>2028</v>
      </c>
      <c r="E48" s="120" t="s">
        <v>352</v>
      </c>
      <c r="F48" s="121">
        <f>'MRS(input_PJ_Opt1)'!AA18*(44/12)</f>
        <v>0</v>
      </c>
      <c r="G48" s="108" t="s">
        <v>344</v>
      </c>
      <c r="H48" s="109" t="s">
        <v>359</v>
      </c>
    </row>
    <row r="49" spans="1:8" ht="18.75" customHeight="1" x14ac:dyDescent="0.2">
      <c r="A49" s="125"/>
      <c r="B49" s="118"/>
      <c r="C49" s="118"/>
      <c r="D49" s="119">
        <f t="shared" si="3"/>
        <v>2029</v>
      </c>
      <c r="E49" s="120" t="s">
        <v>352</v>
      </c>
      <c r="F49" s="121">
        <f>'MRS(input_PJ_Opt1)'!AA19*(44/12)</f>
        <v>0</v>
      </c>
      <c r="G49" s="108" t="s">
        <v>344</v>
      </c>
      <c r="H49" s="109" t="s">
        <v>359</v>
      </c>
    </row>
    <row r="50" spans="1:8" ht="18.75" customHeight="1" x14ac:dyDescent="0.2">
      <c r="A50" s="125"/>
      <c r="B50" s="111"/>
      <c r="C50" s="112" t="s">
        <v>360</v>
      </c>
      <c r="D50" s="113"/>
      <c r="E50" s="114"/>
      <c r="F50" s="115"/>
      <c r="G50" s="116"/>
      <c r="H50" s="117"/>
    </row>
    <row r="51" spans="1:8" ht="18.75" customHeight="1" x14ac:dyDescent="0.2">
      <c r="A51" s="125"/>
      <c r="B51" s="118"/>
      <c r="C51" s="118"/>
      <c r="D51" s="119">
        <f>D38</f>
        <v>2018</v>
      </c>
      <c r="E51" s="120" t="s">
        <v>361</v>
      </c>
      <c r="F51" s="131">
        <f>'MRS(input_PJ_Opt1)'!M36+'MRS(input_PJ_Opt1)'!R61</f>
        <v>0</v>
      </c>
      <c r="G51" s="108" t="s">
        <v>344</v>
      </c>
      <c r="H51" s="109" t="s">
        <v>362</v>
      </c>
    </row>
    <row r="52" spans="1:8" ht="18.75" customHeight="1" x14ac:dyDescent="0.2">
      <c r="A52" s="125"/>
      <c r="B52" s="118"/>
      <c r="C52" s="118"/>
      <c r="D52" s="119">
        <f t="shared" ref="D52:D62" si="4">D39</f>
        <v>2019</v>
      </c>
      <c r="E52" s="120" t="s">
        <v>361</v>
      </c>
      <c r="F52" s="131">
        <f>'MRS(input_PJ_Opt1)'!M37+'MRS(input_PJ_Opt1)'!R62</f>
        <v>0</v>
      </c>
      <c r="G52" s="108" t="s">
        <v>344</v>
      </c>
      <c r="H52" s="109" t="s">
        <v>362</v>
      </c>
    </row>
    <row r="53" spans="1:8" ht="18.75" customHeight="1" x14ac:dyDescent="0.2">
      <c r="A53" s="125"/>
      <c r="B53" s="118"/>
      <c r="C53" s="118"/>
      <c r="D53" s="119">
        <f t="shared" si="4"/>
        <v>2020</v>
      </c>
      <c r="E53" s="120" t="s">
        <v>361</v>
      </c>
      <c r="F53" s="131">
        <f>'MRS(input_PJ_Opt1)'!M38+'MRS(input_PJ_Opt1)'!R63</f>
        <v>0</v>
      </c>
      <c r="G53" s="108" t="s">
        <v>344</v>
      </c>
      <c r="H53" s="109" t="s">
        <v>362</v>
      </c>
    </row>
    <row r="54" spans="1:8" ht="18.75" customHeight="1" x14ac:dyDescent="0.2">
      <c r="A54" s="125"/>
      <c r="B54" s="118"/>
      <c r="C54" s="118"/>
      <c r="D54" s="119">
        <f t="shared" si="4"/>
        <v>2021</v>
      </c>
      <c r="E54" s="120" t="s">
        <v>361</v>
      </c>
      <c r="F54" s="131">
        <f>'MRS(input_PJ_Opt1)'!M39+'MRS(input_PJ_Opt1)'!R64</f>
        <v>0</v>
      </c>
      <c r="G54" s="108" t="s">
        <v>344</v>
      </c>
      <c r="H54" s="109" t="s">
        <v>362</v>
      </c>
    </row>
    <row r="55" spans="1:8" ht="18.75" customHeight="1" x14ac:dyDescent="0.2">
      <c r="A55" s="125"/>
      <c r="B55" s="118"/>
      <c r="C55" s="118"/>
      <c r="D55" s="119">
        <f t="shared" si="4"/>
        <v>2022</v>
      </c>
      <c r="E55" s="120" t="s">
        <v>361</v>
      </c>
      <c r="F55" s="131">
        <f>'MRS(input_PJ_Opt1)'!M40+'MRS(input_PJ_Opt1)'!R65</f>
        <v>0</v>
      </c>
      <c r="G55" s="108" t="s">
        <v>344</v>
      </c>
      <c r="H55" s="109" t="s">
        <v>362</v>
      </c>
    </row>
    <row r="56" spans="1:8" ht="18.75" customHeight="1" x14ac:dyDescent="0.2">
      <c r="A56" s="125"/>
      <c r="B56" s="118"/>
      <c r="C56" s="118"/>
      <c r="D56" s="119">
        <f t="shared" si="4"/>
        <v>2023</v>
      </c>
      <c r="E56" s="120" t="s">
        <v>361</v>
      </c>
      <c r="F56" s="131">
        <f>'MRS(input_PJ_Opt1)'!M41+'MRS(input_PJ_Opt1)'!R66</f>
        <v>0</v>
      </c>
      <c r="G56" s="108" t="s">
        <v>344</v>
      </c>
      <c r="H56" s="109" t="s">
        <v>362</v>
      </c>
    </row>
    <row r="57" spans="1:8" ht="18.75" customHeight="1" x14ac:dyDescent="0.2">
      <c r="A57" s="125"/>
      <c r="B57" s="118"/>
      <c r="C57" s="118"/>
      <c r="D57" s="119">
        <f t="shared" si="4"/>
        <v>2024</v>
      </c>
      <c r="E57" s="120" t="s">
        <v>361</v>
      </c>
      <c r="F57" s="131">
        <f>'MRS(input_PJ_Opt1)'!M42+'MRS(input_PJ_Opt1)'!R67</f>
        <v>0</v>
      </c>
      <c r="G57" s="108" t="s">
        <v>344</v>
      </c>
      <c r="H57" s="109" t="s">
        <v>362</v>
      </c>
    </row>
    <row r="58" spans="1:8" ht="18.75" customHeight="1" x14ac:dyDescent="0.2">
      <c r="A58" s="125"/>
      <c r="B58" s="118"/>
      <c r="C58" s="118"/>
      <c r="D58" s="119">
        <f t="shared" si="4"/>
        <v>2025</v>
      </c>
      <c r="E58" s="120" t="s">
        <v>361</v>
      </c>
      <c r="F58" s="131">
        <f>'MRS(input_PJ_Opt1)'!M43+'MRS(input_PJ_Opt1)'!R68</f>
        <v>0</v>
      </c>
      <c r="G58" s="108" t="s">
        <v>344</v>
      </c>
      <c r="H58" s="109" t="s">
        <v>362</v>
      </c>
    </row>
    <row r="59" spans="1:8" ht="18.75" customHeight="1" x14ac:dyDescent="0.2">
      <c r="A59" s="125"/>
      <c r="B59" s="118"/>
      <c r="C59" s="118"/>
      <c r="D59" s="119">
        <f t="shared" si="4"/>
        <v>2026</v>
      </c>
      <c r="E59" s="120" t="s">
        <v>361</v>
      </c>
      <c r="F59" s="131">
        <f>'MRS(input_PJ_Opt1)'!M44+'MRS(input_PJ_Opt1)'!R69</f>
        <v>0</v>
      </c>
      <c r="G59" s="108" t="s">
        <v>344</v>
      </c>
      <c r="H59" s="109" t="s">
        <v>362</v>
      </c>
    </row>
    <row r="60" spans="1:8" ht="18.75" customHeight="1" x14ac:dyDescent="0.2">
      <c r="A60" s="125"/>
      <c r="B60" s="118"/>
      <c r="C60" s="118"/>
      <c r="D60" s="119">
        <f t="shared" si="4"/>
        <v>2027</v>
      </c>
      <c r="E60" s="120" t="s">
        <v>361</v>
      </c>
      <c r="F60" s="131">
        <f>'MRS(input_PJ_Opt1)'!M45+'MRS(input_PJ_Opt1)'!R70</f>
        <v>0</v>
      </c>
      <c r="G60" s="108" t="s">
        <v>344</v>
      </c>
      <c r="H60" s="109" t="s">
        <v>362</v>
      </c>
    </row>
    <row r="61" spans="1:8" ht="18.75" customHeight="1" x14ac:dyDescent="0.2">
      <c r="A61" s="125"/>
      <c r="B61" s="118"/>
      <c r="C61" s="118"/>
      <c r="D61" s="119">
        <f t="shared" si="4"/>
        <v>2028</v>
      </c>
      <c r="E61" s="120" t="s">
        <v>361</v>
      </c>
      <c r="F61" s="131">
        <f>'MRS(input_PJ_Opt1)'!M46+'MRS(input_PJ_Opt1)'!R71</f>
        <v>0</v>
      </c>
      <c r="G61" s="108" t="s">
        <v>344</v>
      </c>
      <c r="H61" s="109" t="s">
        <v>362</v>
      </c>
    </row>
    <row r="62" spans="1:8" ht="18.75" customHeight="1" x14ac:dyDescent="0.2">
      <c r="A62" s="125"/>
      <c r="B62" s="118"/>
      <c r="C62" s="118"/>
      <c r="D62" s="119">
        <f t="shared" si="4"/>
        <v>2029</v>
      </c>
      <c r="E62" s="120" t="s">
        <v>361</v>
      </c>
      <c r="F62" s="131">
        <f>'MRS(input_PJ_Opt1)'!M47+'MRS(input_PJ_Opt1)'!R72</f>
        <v>0</v>
      </c>
      <c r="G62" s="108" t="s">
        <v>344</v>
      </c>
      <c r="H62" s="109" t="s">
        <v>362</v>
      </c>
    </row>
    <row r="63" spans="1:8" ht="18.75" customHeight="1" x14ac:dyDescent="0.2">
      <c r="A63" s="125"/>
      <c r="B63" s="111"/>
      <c r="C63" s="112" t="s">
        <v>363</v>
      </c>
      <c r="D63" s="113"/>
      <c r="E63" s="114"/>
      <c r="F63" s="115"/>
      <c r="G63" s="116"/>
      <c r="H63" s="117"/>
    </row>
    <row r="64" spans="1:8" ht="18.649999999999999" customHeight="1" x14ac:dyDescent="0.2">
      <c r="A64" s="125"/>
      <c r="B64" s="126"/>
      <c r="C64" s="126"/>
      <c r="D64" s="127">
        <f>D51</f>
        <v>2018</v>
      </c>
      <c r="E64" s="128" t="s">
        <v>364</v>
      </c>
      <c r="F64" s="132">
        <f>'MRS(input_PJ_Opt1)'!AF89</f>
        <v>0</v>
      </c>
      <c r="G64" s="133" t="s">
        <v>353</v>
      </c>
      <c r="H64" s="130" t="s">
        <v>365</v>
      </c>
    </row>
    <row r="65" spans="1:8" ht="18.649999999999999" customHeight="1" x14ac:dyDescent="0.2">
      <c r="A65" s="125"/>
      <c r="B65" s="126"/>
      <c r="C65" s="126"/>
      <c r="D65" s="127">
        <f t="shared" ref="D65:D75" si="5">D52</f>
        <v>2019</v>
      </c>
      <c r="E65" s="128" t="s">
        <v>364</v>
      </c>
      <c r="F65" s="132">
        <f>'MRS(input_PJ_Opt1)'!AF90</f>
        <v>0</v>
      </c>
      <c r="G65" s="133" t="s">
        <v>353</v>
      </c>
      <c r="H65" s="130" t="s">
        <v>365</v>
      </c>
    </row>
    <row r="66" spans="1:8" ht="18.649999999999999" customHeight="1" x14ac:dyDescent="0.2">
      <c r="A66" s="125"/>
      <c r="B66" s="126"/>
      <c r="C66" s="126"/>
      <c r="D66" s="127">
        <f t="shared" si="5"/>
        <v>2020</v>
      </c>
      <c r="E66" s="128" t="s">
        <v>364</v>
      </c>
      <c r="F66" s="132">
        <f>'MRS(input_PJ_Opt1)'!AF91</f>
        <v>0</v>
      </c>
      <c r="G66" s="133" t="s">
        <v>353</v>
      </c>
      <c r="H66" s="130" t="s">
        <v>365</v>
      </c>
    </row>
    <row r="67" spans="1:8" ht="18.649999999999999" customHeight="1" x14ac:dyDescent="0.2">
      <c r="A67" s="125"/>
      <c r="B67" s="126"/>
      <c r="C67" s="126"/>
      <c r="D67" s="127">
        <f t="shared" si="5"/>
        <v>2021</v>
      </c>
      <c r="E67" s="128" t="s">
        <v>364</v>
      </c>
      <c r="F67" s="132">
        <f>'MRS(input_PJ_Opt1)'!AF92</f>
        <v>0</v>
      </c>
      <c r="G67" s="133" t="s">
        <v>353</v>
      </c>
      <c r="H67" s="130" t="s">
        <v>365</v>
      </c>
    </row>
    <row r="68" spans="1:8" ht="18.649999999999999" customHeight="1" x14ac:dyDescent="0.2">
      <c r="A68" s="125"/>
      <c r="B68" s="126"/>
      <c r="C68" s="126"/>
      <c r="D68" s="127">
        <f t="shared" si="5"/>
        <v>2022</v>
      </c>
      <c r="E68" s="128" t="s">
        <v>364</v>
      </c>
      <c r="F68" s="132">
        <f>'MRS(input_PJ_Opt1)'!AF93</f>
        <v>0</v>
      </c>
      <c r="G68" s="133" t="s">
        <v>353</v>
      </c>
      <c r="H68" s="130" t="s">
        <v>365</v>
      </c>
    </row>
    <row r="69" spans="1:8" ht="18.649999999999999" customHeight="1" x14ac:dyDescent="0.2">
      <c r="A69" s="125"/>
      <c r="B69" s="126"/>
      <c r="C69" s="126"/>
      <c r="D69" s="127">
        <f t="shared" si="5"/>
        <v>2023</v>
      </c>
      <c r="E69" s="128" t="s">
        <v>364</v>
      </c>
      <c r="F69" s="132">
        <f>'MRS(input_PJ_Opt1)'!AF94</f>
        <v>0</v>
      </c>
      <c r="G69" s="133" t="s">
        <v>353</v>
      </c>
      <c r="H69" s="130" t="s">
        <v>365</v>
      </c>
    </row>
    <row r="70" spans="1:8" ht="18.649999999999999" customHeight="1" x14ac:dyDescent="0.2">
      <c r="A70" s="125"/>
      <c r="B70" s="126"/>
      <c r="C70" s="126"/>
      <c r="D70" s="127">
        <f t="shared" si="5"/>
        <v>2024</v>
      </c>
      <c r="E70" s="128" t="s">
        <v>364</v>
      </c>
      <c r="F70" s="132">
        <f>'MRS(input_PJ_Opt1)'!AF95</f>
        <v>0</v>
      </c>
      <c r="G70" s="133" t="s">
        <v>353</v>
      </c>
      <c r="H70" s="130" t="s">
        <v>365</v>
      </c>
    </row>
    <row r="71" spans="1:8" ht="18.649999999999999" customHeight="1" x14ac:dyDescent="0.2">
      <c r="A71" s="125"/>
      <c r="B71" s="126"/>
      <c r="C71" s="126"/>
      <c r="D71" s="127">
        <f t="shared" si="5"/>
        <v>2025</v>
      </c>
      <c r="E71" s="128" t="s">
        <v>364</v>
      </c>
      <c r="F71" s="132">
        <f>'MRS(input_PJ_Opt1)'!AF96</f>
        <v>0</v>
      </c>
      <c r="G71" s="133" t="s">
        <v>353</v>
      </c>
      <c r="H71" s="130" t="s">
        <v>365</v>
      </c>
    </row>
    <row r="72" spans="1:8" ht="18.649999999999999" customHeight="1" x14ac:dyDescent="0.2">
      <c r="A72" s="125"/>
      <c r="B72" s="126"/>
      <c r="C72" s="126"/>
      <c r="D72" s="127">
        <f t="shared" si="5"/>
        <v>2026</v>
      </c>
      <c r="E72" s="128" t="s">
        <v>364</v>
      </c>
      <c r="F72" s="132">
        <f>'MRS(input_PJ_Opt1)'!AF97</f>
        <v>0</v>
      </c>
      <c r="G72" s="133" t="s">
        <v>353</v>
      </c>
      <c r="H72" s="130" t="s">
        <v>365</v>
      </c>
    </row>
    <row r="73" spans="1:8" ht="18.649999999999999" customHeight="1" x14ac:dyDescent="0.2">
      <c r="A73" s="125"/>
      <c r="B73" s="126"/>
      <c r="C73" s="126"/>
      <c r="D73" s="127">
        <f t="shared" si="5"/>
        <v>2027</v>
      </c>
      <c r="E73" s="128" t="s">
        <v>364</v>
      </c>
      <c r="F73" s="132">
        <f>'MRS(input_PJ_Opt1)'!AF98</f>
        <v>0</v>
      </c>
      <c r="G73" s="133" t="s">
        <v>353</v>
      </c>
      <c r="H73" s="130" t="s">
        <v>365</v>
      </c>
    </row>
    <row r="74" spans="1:8" ht="18.649999999999999" customHeight="1" x14ac:dyDescent="0.2">
      <c r="A74" s="125"/>
      <c r="B74" s="126"/>
      <c r="C74" s="126"/>
      <c r="D74" s="127">
        <f t="shared" si="5"/>
        <v>2028</v>
      </c>
      <c r="E74" s="128" t="s">
        <v>364</v>
      </c>
      <c r="F74" s="132">
        <f>'MRS(input_PJ_Opt1)'!AF99</f>
        <v>0</v>
      </c>
      <c r="G74" s="133" t="s">
        <v>353</v>
      </c>
      <c r="H74" s="130" t="s">
        <v>365</v>
      </c>
    </row>
    <row r="75" spans="1:8" ht="18.75" customHeight="1" x14ac:dyDescent="0.2">
      <c r="A75" s="125"/>
      <c r="B75" s="126"/>
      <c r="C75" s="126"/>
      <c r="D75" s="127">
        <f t="shared" si="5"/>
        <v>2029</v>
      </c>
      <c r="E75" s="128" t="s">
        <v>364</v>
      </c>
      <c r="F75" s="132">
        <f>'MRS(input_PJ_Opt1)'!AF100</f>
        <v>0</v>
      </c>
      <c r="G75" s="133" t="s">
        <v>353</v>
      </c>
      <c r="H75" s="130" t="s">
        <v>365</v>
      </c>
    </row>
    <row r="76" spans="1:8" ht="18.75" customHeight="1" x14ac:dyDescent="0.2">
      <c r="A76" s="125"/>
      <c r="B76" s="134"/>
      <c r="C76" s="112" t="s">
        <v>366</v>
      </c>
      <c r="D76" s="135"/>
      <c r="E76" s="136"/>
      <c r="F76" s="137"/>
      <c r="G76" s="138"/>
      <c r="H76" s="139"/>
    </row>
    <row r="77" spans="1:8" ht="18.75" customHeight="1" x14ac:dyDescent="0.2">
      <c r="A77" s="125"/>
      <c r="B77" s="126"/>
      <c r="C77" s="126"/>
      <c r="D77" s="127">
        <f>D64</f>
        <v>2018</v>
      </c>
      <c r="E77" s="128" t="s">
        <v>352</v>
      </c>
      <c r="F77" s="129">
        <f>'MRS(input_PJ_Opt1)'!AZ110</f>
        <v>0</v>
      </c>
      <c r="G77" s="133" t="s">
        <v>353</v>
      </c>
      <c r="H77" s="130" t="s">
        <v>367</v>
      </c>
    </row>
    <row r="78" spans="1:8" ht="18.75" customHeight="1" x14ac:dyDescent="0.2">
      <c r="A78" s="125"/>
      <c r="B78" s="126"/>
      <c r="C78" s="126"/>
      <c r="D78" s="127">
        <f t="shared" ref="D78:D88" si="6">D65</f>
        <v>2019</v>
      </c>
      <c r="E78" s="128" t="s">
        <v>352</v>
      </c>
      <c r="F78" s="129">
        <f>'MRS(input_PJ_Opt1)'!AZ111</f>
        <v>0</v>
      </c>
      <c r="G78" s="133" t="s">
        <v>353</v>
      </c>
      <c r="H78" s="130" t="s">
        <v>367</v>
      </c>
    </row>
    <row r="79" spans="1:8" ht="18.75" customHeight="1" x14ac:dyDescent="0.2">
      <c r="A79" s="125"/>
      <c r="B79" s="126"/>
      <c r="C79" s="126"/>
      <c r="D79" s="127">
        <f t="shared" si="6"/>
        <v>2020</v>
      </c>
      <c r="E79" s="128" t="s">
        <v>352</v>
      </c>
      <c r="F79" s="129">
        <f>'MRS(input_PJ_Opt1)'!AZ112</f>
        <v>0</v>
      </c>
      <c r="G79" s="133" t="s">
        <v>353</v>
      </c>
      <c r="H79" s="130" t="s">
        <v>367</v>
      </c>
    </row>
    <row r="80" spans="1:8" ht="18.75" customHeight="1" x14ac:dyDescent="0.2">
      <c r="A80" s="125"/>
      <c r="B80" s="126"/>
      <c r="C80" s="126"/>
      <c r="D80" s="127">
        <f t="shared" si="6"/>
        <v>2021</v>
      </c>
      <c r="E80" s="128" t="s">
        <v>352</v>
      </c>
      <c r="F80" s="129">
        <f>'MRS(input_PJ_Opt1)'!AZ113</f>
        <v>0</v>
      </c>
      <c r="G80" s="133" t="s">
        <v>353</v>
      </c>
      <c r="H80" s="130" t="s">
        <v>367</v>
      </c>
    </row>
    <row r="81" spans="1:8" ht="18.75" customHeight="1" x14ac:dyDescent="0.2">
      <c r="A81" s="125"/>
      <c r="B81" s="126"/>
      <c r="C81" s="126"/>
      <c r="D81" s="127">
        <f t="shared" si="6"/>
        <v>2022</v>
      </c>
      <c r="E81" s="128" t="s">
        <v>352</v>
      </c>
      <c r="F81" s="129">
        <f>'MRS(input_PJ_Opt1)'!AZ114</f>
        <v>0</v>
      </c>
      <c r="G81" s="133" t="s">
        <v>353</v>
      </c>
      <c r="H81" s="130" t="s">
        <v>367</v>
      </c>
    </row>
    <row r="82" spans="1:8" ht="18.75" customHeight="1" x14ac:dyDescent="0.2">
      <c r="A82" s="125"/>
      <c r="B82" s="126"/>
      <c r="C82" s="126"/>
      <c r="D82" s="127">
        <f t="shared" si="6"/>
        <v>2023</v>
      </c>
      <c r="E82" s="128" t="s">
        <v>352</v>
      </c>
      <c r="F82" s="129">
        <f>'MRS(input_PJ_Opt1)'!AZ115</f>
        <v>0</v>
      </c>
      <c r="G82" s="133" t="s">
        <v>353</v>
      </c>
      <c r="H82" s="130" t="s">
        <v>367</v>
      </c>
    </row>
    <row r="83" spans="1:8" ht="18.75" customHeight="1" x14ac:dyDescent="0.2">
      <c r="A83" s="125"/>
      <c r="B83" s="126"/>
      <c r="C83" s="126"/>
      <c r="D83" s="127">
        <f t="shared" si="6"/>
        <v>2024</v>
      </c>
      <c r="E83" s="128" t="s">
        <v>352</v>
      </c>
      <c r="F83" s="129">
        <f>'MRS(input_PJ_Opt1)'!AZ116</f>
        <v>0</v>
      </c>
      <c r="G83" s="133" t="s">
        <v>353</v>
      </c>
      <c r="H83" s="130" t="s">
        <v>367</v>
      </c>
    </row>
    <row r="84" spans="1:8" ht="18.75" customHeight="1" x14ac:dyDescent="0.2">
      <c r="A84" s="125"/>
      <c r="B84" s="126"/>
      <c r="C84" s="126"/>
      <c r="D84" s="127">
        <f t="shared" si="6"/>
        <v>2025</v>
      </c>
      <c r="E84" s="128" t="s">
        <v>352</v>
      </c>
      <c r="F84" s="129">
        <f>'MRS(input_PJ_Opt1)'!AZ117</f>
        <v>0</v>
      </c>
      <c r="G84" s="133" t="s">
        <v>353</v>
      </c>
      <c r="H84" s="130" t="s">
        <v>367</v>
      </c>
    </row>
    <row r="85" spans="1:8" ht="18.75" customHeight="1" x14ac:dyDescent="0.2">
      <c r="A85" s="125"/>
      <c r="B85" s="126"/>
      <c r="C85" s="126"/>
      <c r="D85" s="127">
        <f t="shared" si="6"/>
        <v>2026</v>
      </c>
      <c r="E85" s="128" t="s">
        <v>352</v>
      </c>
      <c r="F85" s="129">
        <f>'MRS(input_PJ_Opt1)'!AZ118</f>
        <v>0</v>
      </c>
      <c r="G85" s="133" t="s">
        <v>353</v>
      </c>
      <c r="H85" s="130" t="s">
        <v>367</v>
      </c>
    </row>
    <row r="86" spans="1:8" ht="18.75" customHeight="1" x14ac:dyDescent="0.2">
      <c r="A86" s="125"/>
      <c r="B86" s="126"/>
      <c r="C86" s="126"/>
      <c r="D86" s="127">
        <f t="shared" si="6"/>
        <v>2027</v>
      </c>
      <c r="E86" s="128" t="s">
        <v>352</v>
      </c>
      <c r="F86" s="129">
        <f>'MRS(input_PJ_Opt1)'!AZ119</f>
        <v>0</v>
      </c>
      <c r="G86" s="133" t="s">
        <v>353</v>
      </c>
      <c r="H86" s="130" t="s">
        <v>367</v>
      </c>
    </row>
    <row r="87" spans="1:8" ht="18.75" customHeight="1" x14ac:dyDescent="0.2">
      <c r="A87" s="125"/>
      <c r="B87" s="126"/>
      <c r="C87" s="126"/>
      <c r="D87" s="127">
        <f t="shared" si="6"/>
        <v>2028</v>
      </c>
      <c r="E87" s="128" t="s">
        <v>352</v>
      </c>
      <c r="F87" s="129">
        <f>'MRS(input_PJ_Opt1)'!AZ120</f>
        <v>0</v>
      </c>
      <c r="G87" s="133" t="s">
        <v>353</v>
      </c>
      <c r="H87" s="130" t="s">
        <v>367</v>
      </c>
    </row>
    <row r="88" spans="1:8" ht="18.75" customHeight="1" x14ac:dyDescent="0.2">
      <c r="A88" s="125"/>
      <c r="B88" s="126"/>
      <c r="C88" s="126"/>
      <c r="D88" s="127">
        <f t="shared" si="6"/>
        <v>2029</v>
      </c>
      <c r="E88" s="128" t="s">
        <v>352</v>
      </c>
      <c r="F88" s="129">
        <f>'MRS(input_PJ_Opt1)'!AZ121</f>
        <v>0</v>
      </c>
      <c r="G88" s="133" t="s">
        <v>353</v>
      </c>
      <c r="H88" s="130" t="s">
        <v>367</v>
      </c>
    </row>
    <row r="89" spans="1:8" ht="18.75" customHeight="1" thickBot="1" x14ac:dyDescent="0.25">
      <c r="A89" s="98" t="s">
        <v>368</v>
      </c>
      <c r="B89" s="99"/>
      <c r="C89" s="99"/>
      <c r="D89" s="98"/>
      <c r="E89" s="101"/>
      <c r="F89" s="98"/>
      <c r="G89" s="100"/>
      <c r="H89" s="103"/>
    </row>
    <row r="90" spans="1:8" ht="18.75" customHeight="1" thickBot="1" x14ac:dyDescent="0.25">
      <c r="A90" s="140"/>
      <c r="B90" s="141" t="s">
        <v>369</v>
      </c>
      <c r="C90" s="141"/>
      <c r="D90" s="142"/>
      <c r="E90" s="143"/>
      <c r="F90" s="144">
        <v>20</v>
      </c>
      <c r="G90" s="133" t="s">
        <v>370</v>
      </c>
      <c r="H90" s="130" t="s">
        <v>371</v>
      </c>
    </row>
    <row r="91" spans="1:8" x14ac:dyDescent="0.2">
      <c r="D91" s="145"/>
      <c r="E91" s="146"/>
      <c r="F91" s="16"/>
      <c r="G91" s="16"/>
    </row>
    <row r="92" spans="1:8" x14ac:dyDescent="0.2">
      <c r="E92" s="146"/>
      <c r="F92" s="16"/>
      <c r="G92" s="16"/>
    </row>
    <row r="93" spans="1:8" ht="21.75" customHeight="1" x14ac:dyDescent="0.2">
      <c r="C93" s="10" t="s">
        <v>372</v>
      </c>
    </row>
    <row r="94" spans="1:8" ht="32.5" x14ac:dyDescent="0.2">
      <c r="C94" s="147"/>
      <c r="D94" s="148" t="s">
        <v>373</v>
      </c>
      <c r="E94" s="149">
        <v>0.01</v>
      </c>
      <c r="F94" s="150" t="s">
        <v>374</v>
      </c>
      <c r="G94" s="151" t="s">
        <v>375</v>
      </c>
    </row>
    <row r="95" spans="1:8" ht="32.5" x14ac:dyDescent="0.2">
      <c r="C95" s="152"/>
      <c r="D95" s="148" t="s">
        <v>376</v>
      </c>
      <c r="E95" s="153">
        <v>3.0000000000000001E-3</v>
      </c>
      <c r="F95" s="150" t="s">
        <v>374</v>
      </c>
      <c r="G95" s="151" t="s">
        <v>377</v>
      </c>
    </row>
    <row r="96" spans="1:8" ht="30" x14ac:dyDescent="0.2">
      <c r="C96" s="154"/>
      <c r="D96" s="148" t="s">
        <v>378</v>
      </c>
      <c r="E96" s="149">
        <v>0.1</v>
      </c>
      <c r="F96" s="150" t="s">
        <v>111</v>
      </c>
      <c r="G96" s="151" t="s">
        <v>379</v>
      </c>
    </row>
    <row r="97" spans="3:12" ht="30" x14ac:dyDescent="0.2">
      <c r="C97" s="154"/>
      <c r="D97" s="148" t="s">
        <v>380</v>
      </c>
      <c r="E97" s="149">
        <v>0.2</v>
      </c>
      <c r="F97" s="150" t="s">
        <v>111</v>
      </c>
      <c r="G97" s="151" t="s">
        <v>381</v>
      </c>
    </row>
    <row r="98" spans="3:12" ht="48.5" x14ac:dyDescent="0.2">
      <c r="C98" s="154"/>
      <c r="D98" s="148" t="s">
        <v>382</v>
      </c>
      <c r="E98" s="153">
        <v>0.01</v>
      </c>
      <c r="F98" s="150" t="s">
        <v>383</v>
      </c>
      <c r="G98" s="151" t="s">
        <v>384</v>
      </c>
    </row>
    <row r="99" spans="3:12" ht="16" x14ac:dyDescent="0.2">
      <c r="C99" s="154"/>
      <c r="D99" s="148" t="s">
        <v>385</v>
      </c>
      <c r="E99" s="149">
        <v>0.3</v>
      </c>
      <c r="F99" s="150" t="s">
        <v>111</v>
      </c>
      <c r="G99" s="151" t="s">
        <v>386</v>
      </c>
    </row>
    <row r="100" spans="3:12" ht="46.5" x14ac:dyDescent="0.2">
      <c r="C100" s="154"/>
      <c r="D100" s="148" t="s">
        <v>387</v>
      </c>
      <c r="E100" s="155">
        <v>7.4999999999999997E-3</v>
      </c>
      <c r="F100" s="150" t="s">
        <v>388</v>
      </c>
      <c r="G100" s="151" t="s">
        <v>389</v>
      </c>
    </row>
    <row r="101" spans="3:12" ht="16.5" x14ac:dyDescent="0.2">
      <c r="C101" s="154"/>
      <c r="D101" s="148" t="s">
        <v>390</v>
      </c>
      <c r="E101" s="149">
        <v>0.12</v>
      </c>
      <c r="F101" s="150" t="s">
        <v>391</v>
      </c>
      <c r="G101" s="151" t="s">
        <v>392</v>
      </c>
    </row>
    <row r="102" spans="3:12" ht="16.5" x14ac:dyDescent="0.2">
      <c r="C102" s="154"/>
      <c r="D102" s="148" t="s">
        <v>393</v>
      </c>
      <c r="E102" s="149">
        <v>0.13</v>
      </c>
      <c r="F102" s="150" t="s">
        <v>394</v>
      </c>
      <c r="G102" s="151" t="s">
        <v>395</v>
      </c>
    </row>
    <row r="103" spans="3:12" s="156" customFormat="1" ht="16.5" x14ac:dyDescent="0.2">
      <c r="C103" s="154"/>
      <c r="D103" s="148" t="s">
        <v>396</v>
      </c>
      <c r="E103" s="149">
        <v>0.2</v>
      </c>
      <c r="F103" s="150" t="s">
        <v>397</v>
      </c>
      <c r="G103" s="151" t="s">
        <v>398</v>
      </c>
      <c r="H103" s="97"/>
    </row>
    <row r="104" spans="3:12" s="156" customFormat="1" ht="17.5" x14ac:dyDescent="0.2">
      <c r="C104" s="157"/>
      <c r="D104" s="148" t="s">
        <v>399</v>
      </c>
      <c r="E104" s="158">
        <v>298</v>
      </c>
      <c r="F104" s="150" t="s">
        <v>400</v>
      </c>
      <c r="G104" s="151" t="s">
        <v>401</v>
      </c>
      <c r="H104" s="97"/>
    </row>
    <row r="105" spans="3:12" ht="16.5" x14ac:dyDescent="0.2">
      <c r="C105" s="157"/>
      <c r="D105" s="148" t="s">
        <v>402</v>
      </c>
      <c r="E105" s="153">
        <v>4.2999999999999997E-2</v>
      </c>
      <c r="F105" s="150" t="s">
        <v>211</v>
      </c>
      <c r="G105" s="151" t="s">
        <v>209</v>
      </c>
      <c r="I105" s="97"/>
      <c r="J105" s="97"/>
      <c r="K105" s="97"/>
      <c r="L105" s="97"/>
    </row>
    <row r="106" spans="3:12" ht="16.5" x14ac:dyDescent="0.2">
      <c r="C106" s="157"/>
      <c r="D106" s="148" t="s">
        <v>403</v>
      </c>
      <c r="E106" s="155">
        <v>4.4299999999999999E-2</v>
      </c>
      <c r="F106" s="150" t="s">
        <v>211</v>
      </c>
      <c r="G106" s="151" t="s">
        <v>209</v>
      </c>
    </row>
    <row r="107" spans="3:12" ht="16.5" x14ac:dyDescent="0.2">
      <c r="C107" s="157"/>
      <c r="D107" s="148" t="s">
        <v>404</v>
      </c>
      <c r="E107" s="155">
        <v>4.2299999999999997E-2</v>
      </c>
      <c r="F107" s="150" t="s">
        <v>211</v>
      </c>
      <c r="G107" s="151" t="s">
        <v>209</v>
      </c>
    </row>
    <row r="108" spans="3:12" ht="17.5" x14ac:dyDescent="0.2">
      <c r="C108" s="157"/>
      <c r="D108" s="148" t="s">
        <v>405</v>
      </c>
      <c r="E108" s="155">
        <v>7.4099999999999999E-2</v>
      </c>
      <c r="F108" s="150" t="s">
        <v>215</v>
      </c>
      <c r="G108" s="151" t="s">
        <v>213</v>
      </c>
      <c r="I108" s="97"/>
      <c r="J108" s="97"/>
      <c r="K108" s="97"/>
      <c r="L108" s="97"/>
    </row>
    <row r="109" spans="3:12" ht="17.5" x14ac:dyDescent="0.2">
      <c r="C109" s="157"/>
      <c r="D109" s="148" t="s">
        <v>406</v>
      </c>
      <c r="E109" s="155">
        <v>6.93E-2</v>
      </c>
      <c r="F109" s="150" t="s">
        <v>215</v>
      </c>
      <c r="G109" s="151" t="s">
        <v>213</v>
      </c>
    </row>
    <row r="110" spans="3:12" ht="17.5" x14ac:dyDescent="0.2">
      <c r="C110" s="154"/>
      <c r="D110" s="148" t="s">
        <v>407</v>
      </c>
      <c r="E110" s="155">
        <v>7.3300000000000004E-2</v>
      </c>
      <c r="F110" s="150" t="s">
        <v>215</v>
      </c>
      <c r="G110" s="151" t="s">
        <v>213</v>
      </c>
    </row>
  </sheetData>
  <sheetProtection algorithmName="SHA-512" hashValue="ow/Bwk+pgRZhaXhSsSmktHCdx7FRszwC0+Kxq7pzmpyUiv8uOL+Gmp5bbjUSB4C+t7ziw9tPSgWODhTJ4qGCuw==" saltValue="2Bw1aB47P2WtffJrvIbvyw==" spinCount="100000" sheet="1" objects="1" scenarios="1"/>
  <phoneticPr fontId="9"/>
  <dataValidations count="1">
    <dataValidation type="list" allowBlank="1" showInputMessage="1" showErrorMessage="1" sqref="E64:E75 E51:E62 E77:E88" xr:uid="{B6B542DB-6C11-49BF-BAD3-A70744606465}">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rowBreaks count="2" manualBreakCount="2">
    <brk id="34" max="7" man="1"/>
    <brk id="9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535A4FC0-91EA-49B9-8A6E-2240163D07DB}">
  <ds:schemaRefs>
    <ds:schemaRef ds:uri="http://schemas.microsoft.com/sharepoint/v3/contenttype/forms"/>
  </ds:schemaRefs>
</ds:datastoreItem>
</file>

<file path=customXml/itemProps2.xml><?xml version="1.0" encoding="utf-8"?>
<ds:datastoreItem xmlns:ds="http://schemas.openxmlformats.org/officeDocument/2006/customXml" ds:itemID="{5A12B493-BA42-4E93-B1E5-3031F3144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E2631-0C09-447B-998D-4EBFF6BDE56D}">
  <ds:schemaRefs>
    <ds:schemaRef ds:uri="http://purl.org/dc/terms/"/>
    <ds:schemaRef ds:uri="16f3ea39-9308-4011-b282-348b837af518"/>
    <ds:schemaRef ds:uri="http://www.w3.org/XML/1998/namespace"/>
    <ds:schemaRef ds:uri="http://schemas.microsoft.com/office/2006/metadata/properties"/>
    <ds:schemaRef ds:uri="aa648ee9-af07-4ee7-a823-cd9c24dceb19"/>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MPS(input_Option1)</vt:lpstr>
      <vt:lpstr>MPS(input_RL_Opt1)</vt:lpstr>
      <vt:lpstr>MPS(input_PJ_Opt1)</vt:lpstr>
      <vt:lpstr>MPS(calc_process_Option1)</vt:lpstr>
      <vt:lpstr>MSP</vt:lpstr>
      <vt:lpstr>MRS(input_Option1)</vt:lpstr>
      <vt:lpstr>MRS(input_RL_Opt1)</vt:lpstr>
      <vt:lpstr>MRS(input_PJ_Opt1)</vt:lpstr>
      <vt:lpstr>MRS(calc_process_Option1)</vt:lpstr>
      <vt:lpstr>MRSA</vt:lpstr>
      <vt:lpstr>'MPS(calc_process_Option1)'!Print_Area</vt:lpstr>
      <vt:lpstr>'MPS(input_Option1)'!Print_Area</vt:lpstr>
      <vt:lpstr>'MPS(input_RL_Opt1)'!Print_Area</vt:lpstr>
      <vt:lpstr>'MRS(calc_process_Option1)'!Print_Area</vt:lpstr>
      <vt:lpstr>'MRS(input_Option1)'!Print_Area</vt:lpstr>
      <vt:lpstr>MRSA!Print_Area</vt:lpstr>
      <vt:lpstr>MSP!Print_Area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2023-05-23T07:32:58Z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